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C:\Users\nithin.agarwal\Dropbox (UFL)\Current Projects\ATMA\Deliverables\Deliverable 4\Charles Review\"/>
    </mc:Choice>
  </mc:AlternateContent>
  <bookViews>
    <workbookView xWindow="-105" yWindow="-105" windowWidth="23250" windowHeight="12570"/>
  </bookViews>
  <sheets>
    <sheet name="ATMA Benefit-Cost Analysis Tool" sheetId="1" r:id="rId1"/>
    <sheet name="Sheet2" sheetId="2" state="veryHidden" r:id="rId2"/>
    <sheet name="Crash Cost by Severity" sheetId="3" state="veryHidden" r:id="rId3"/>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4" i="1" l="1"/>
  <c r="F19" i="1" s="1"/>
  <c r="F12" i="1" l="1"/>
  <c r="F11" i="1" l="1"/>
  <c r="X33" i="2"/>
  <c r="X38" i="2" s="1"/>
  <c r="F15" i="1"/>
  <c r="C15" i="3" l="1"/>
  <c r="X5" i="2" l="1"/>
  <c r="Q26" i="2" l="1"/>
  <c r="O26" i="2" l="1"/>
  <c r="H26" i="2"/>
  <c r="B29" i="2" s="1"/>
  <c r="F8" i="1" l="1"/>
  <c r="F9" i="1" s="1"/>
  <c r="X36" i="2"/>
  <c r="X37" i="2" s="1"/>
  <c r="G26" i="2"/>
  <c r="E26" i="2"/>
  <c r="F26" i="2"/>
  <c r="D26" i="2"/>
  <c r="B26" i="2"/>
  <c r="C26" i="2" s="1"/>
  <c r="F20" i="1" l="1"/>
  <c r="AB32" i="2"/>
</calcChain>
</file>

<file path=xl/comments1.xml><?xml version="1.0" encoding="utf-8"?>
<comments xmlns="http://schemas.openxmlformats.org/spreadsheetml/2006/main">
  <authors>
    <author>tc={7CDC73CE-D6A5-48EC-88CB-23E47AF33412}</author>
    <author>tc={5AEFFA74-D115-4857-AE2E-2EE56A951EC9}</author>
    <author>tc={CA4F43F7-CEF9-41C8-8D66-8135DFDA5581}</author>
    <author>tc={4D5E178E-AC48-4115-B070-33FDE102B790}</author>
    <author>tc={3EC2A212-1436-49A4-8B18-188C65A47F9C}</author>
    <author>tc={BD8B6565-F57D-41F4-96E0-D0BF400C2ECB}</author>
    <author>tc={EC48F5AF-3DBA-4ADE-A0E3-3F0012539FA1}</author>
  </authors>
  <commentList>
    <comment ref="C8"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The yearly average in FL between 2015 to 2019 is 3520 crashes</t>
        </r>
      </text>
    </comment>
    <comment ref="C15" authorId="1"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Default value is $0 if agency owns the truck</t>
        </r>
      </text>
    </comment>
    <comment ref="C16" authorId="2"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Default value is $0 if agency owns the truck</t>
        </r>
      </text>
    </comment>
    <comment ref="C17"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Default value is $250,000</t>
        </r>
      </text>
    </comment>
    <comment ref="C18" authorId="4"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Default value is $40,000</t>
        </r>
      </text>
    </comment>
    <comment ref="C19" authorId="5"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Default value is $5,000 per year</t>
        </r>
      </text>
    </comment>
    <comment ref="C21" authorId="6"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The weighted average of fatal/injury crashes on all facility types in FL is $398,699.2</t>
        </r>
      </text>
    </comment>
  </commentList>
</comments>
</file>

<file path=xl/sharedStrings.xml><?xml version="1.0" encoding="utf-8"?>
<sst xmlns="http://schemas.openxmlformats.org/spreadsheetml/2006/main" count="109" uniqueCount="85">
  <si>
    <t>Fatal</t>
  </si>
  <si>
    <t>2012-2017</t>
  </si>
  <si>
    <t>Year</t>
  </si>
  <si>
    <t>Crashes</t>
  </si>
  <si>
    <t>Fatal Crashes</t>
  </si>
  <si>
    <t>Percent</t>
  </si>
  <si>
    <t>Change</t>
  </si>
  <si>
    <t>Personal</t>
  </si>
  <si>
    <t>Injury</t>
  </si>
  <si>
    <t>Property</t>
  </si>
  <si>
    <t>Damage</t>
  </si>
  <si>
    <t>Only</t>
  </si>
  <si>
    <t>Total Crashes</t>
  </si>
  <si>
    <t>.</t>
  </si>
  <si>
    <t>Inj</t>
  </si>
  <si>
    <t>PDO</t>
  </si>
  <si>
    <t>All</t>
  </si>
  <si>
    <t>WZ</t>
  </si>
  <si>
    <t>2011-2016</t>
  </si>
  <si>
    <t>ALL WZ Crashes</t>
  </si>
  <si>
    <t>TMA</t>
  </si>
  <si>
    <t>TMA Percentage</t>
  </si>
  <si>
    <t>TMA fatal Injury percentage</t>
  </si>
  <si>
    <t>DOT staff fatal injured percentage</t>
  </si>
  <si>
    <t>K</t>
  </si>
  <si>
    <t>A</t>
  </si>
  <si>
    <t>B</t>
  </si>
  <si>
    <t>C</t>
  </si>
  <si>
    <t>O</t>
  </si>
  <si>
    <t>2-laneUndivided</t>
  </si>
  <si>
    <t>4-laneUndivided</t>
  </si>
  <si>
    <t>4-laneDivided</t>
  </si>
  <si>
    <t>Rural Roadways</t>
  </si>
  <si>
    <t>Urban &amp; Suburban Arterials</t>
  </si>
  <si>
    <t>2-lane Undivided</t>
  </si>
  <si>
    <t>Freeways</t>
  </si>
  <si>
    <t>Rural</t>
  </si>
  <si>
    <t>Urban</t>
  </si>
  <si>
    <t>Ramps</t>
  </si>
  <si>
    <t>All Roadways andRamps</t>
  </si>
  <si>
    <t>Crash Cost</t>
  </si>
  <si>
    <t>Weighted Crash Cost</t>
  </si>
  <si>
    <t>Florida WZ crashes</t>
  </si>
  <si>
    <t>Average Yearly</t>
  </si>
  <si>
    <t>#TMA</t>
  </si>
  <si>
    <t>Yearly Benefit</t>
  </si>
  <si>
    <t>Cost Present Value</t>
  </si>
  <si>
    <t>Leader truck cost: $0</t>
  </si>
  <si>
    <t>Follower truck cost $0</t>
  </si>
  <si>
    <t>Technology procurement cost: $250,000</t>
  </si>
  <si>
    <t>Deployment cost: $40,000</t>
  </si>
  <si>
    <t>Maintenance cost $5,000 per year</t>
  </si>
  <si>
    <t>Life Cycle 5</t>
  </si>
  <si>
    <t>Present Value of Benefits</t>
  </si>
  <si>
    <t xml:space="preserve"> </t>
  </si>
  <si>
    <t>Input</t>
  </si>
  <si>
    <t>Predicted # of 
TMA related crashes</t>
  </si>
  <si>
    <t>Work Zone Crashes</t>
  </si>
  <si>
    <t>Output</t>
  </si>
  <si>
    <t>Predicted crashes</t>
  </si>
  <si>
    <t>Number of TMAs in your agency</t>
  </si>
  <si>
    <t>Agency size</t>
  </si>
  <si>
    <t>Crash per vehicle</t>
  </si>
  <si>
    <t>Annuity factor</t>
  </si>
  <si>
    <t>Deployment cost</t>
  </si>
  <si>
    <t>Technology procurement cost</t>
  </si>
  <si>
    <t>Follower truck cost</t>
  </si>
  <si>
    <t>Leader truck cost</t>
  </si>
  <si>
    <t>TMA life cycle</t>
  </si>
  <si>
    <t>Yearly maintenance cost</t>
  </si>
  <si>
    <t>Cost</t>
  </si>
  <si>
    <t>System cost and characteristics</t>
  </si>
  <si>
    <t>Fatal/injury crash cost</t>
  </si>
  <si>
    <t>System benefit</t>
  </si>
  <si>
    <t>Present value of benefits</t>
  </si>
  <si>
    <t>Benefit to cost ratio</t>
  </si>
  <si>
    <t>Header</t>
  </si>
  <si>
    <t>Present value of cost</t>
  </si>
  <si>
    <t>Annual average work zone
related crashes in your agency</t>
  </si>
  <si>
    <t>User Input</t>
  </si>
  <si>
    <t xml:space="preserve">Percent crashes 
per TMA </t>
  </si>
  <si>
    <t xml:space="preserve">Fatal/injury TMA crashes
per TMA </t>
  </si>
  <si>
    <t>Number of fatal/injury TMA crashes 
involved agency's workers</t>
  </si>
  <si>
    <t>FDOT TWO BDV31-977-133
ATMA BC TOOL</t>
  </si>
  <si>
    <t>Tool considers Cell F11 as the percentage of projects ATMA will be involved in. If you want to use another value, enter value in Cell C12.
Otherwise, enter "0" in C12.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</si>
</sst>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6" formatCode="&quot;$&quot;#,##0_);[Red]\(&quot;$&quot;#,##0\)"/>
    <numFmt numFmtId="8" formatCode="&quot;$&quot;#,##0.00_);[Red]\(&quot;$&quot;#,##0.00\)"/>
    <numFmt numFmtId="164" formatCode="0.000%"/>
    <numFmt numFmtId="165" formatCode="&quot;$&quot;#,##0"/>
    <numFmt numFmtId="166" formatCode="#,##0.00000"/>
    <numFmt numFmtId="167" formatCode="0.0000"/>
    <numFmt numFmtId="168" formatCode="#,##0.000"/>
  </numFmts>
  <fonts count="12" x14ac:knownFonts="1">
    <font>
      <sz val="11"/>
      <color theme="1"/>
      <name val="Calibri"/>
      <family val="2"/>
      <scheme val="minor"/>
    </font>
    <font>
      <sz val="11"/>
      <color theme="1"/>
      <name val="Calibri"/>
      <family val="2"/>
      <scheme val="minor"/>
    </font>
    <font>
      <b/>
      <sz val="18"/>
      <color theme="1"/>
      <name val="Calibri"/>
      <family val="2"/>
      <scheme val="minor"/>
    </font>
    <font>
      <b/>
      <sz val="24"/>
      <color theme="1"/>
      <name val="Calibri"/>
      <family val="2"/>
      <scheme val="minor"/>
    </font>
    <font>
      <b/>
      <sz val="11"/>
      <color theme="1"/>
      <name val="Calibri"/>
      <family val="2"/>
      <scheme val="minor"/>
    </font>
    <font>
      <sz val="11"/>
      <color theme="1"/>
      <name val="Times New Roman"/>
      <family val="1"/>
    </font>
    <font>
      <sz val="10"/>
      <color rgb="FF000000"/>
      <name val="Segoe UI"/>
      <family val="2"/>
    </font>
    <font>
      <b/>
      <sz val="14"/>
      <color theme="1"/>
      <name val="Calibri"/>
      <family val="2"/>
      <scheme val="minor"/>
    </font>
    <font>
      <b/>
      <sz val="20"/>
      <color theme="1"/>
      <name val="Calibri"/>
      <family val="2"/>
      <scheme val="minor"/>
    </font>
    <font>
      <b/>
      <sz val="11"/>
      <color theme="0"/>
      <name val="Calibri"/>
      <family val="2"/>
      <scheme val="minor"/>
    </font>
    <font>
      <b/>
      <sz val="11"/>
      <name val="Calibri"/>
      <family val="2"/>
      <scheme val="minor"/>
    </font>
    <font>
      <b/>
      <sz val="20"/>
      <color theme="5"/>
      <name val="Calibri"/>
      <family val="2"/>
      <scheme val="minor"/>
    </font>
  </fonts>
  <fills count="10">
    <fill>
      <patternFill patternType="none"/>
    </fill>
    <fill>
      <patternFill patternType="gray125"/>
    </fill>
    <fill>
      <patternFill patternType="solid">
        <fgColor rgb="FFFF0000"/>
        <bgColor indexed="64"/>
      </patternFill>
    </fill>
    <fill>
      <patternFill patternType="solid">
        <fgColor theme="5" tint="0.39997558519241921"/>
        <bgColor indexed="64"/>
      </patternFill>
    </fill>
    <fill>
      <patternFill patternType="solid">
        <fgColor theme="7" tint="0.59999389629810485"/>
        <bgColor indexed="64"/>
      </patternFill>
    </fill>
    <fill>
      <patternFill patternType="solid">
        <fgColor rgb="FFFFFF00"/>
        <bgColor indexed="64"/>
      </patternFill>
    </fill>
    <fill>
      <patternFill patternType="solid">
        <fgColor theme="0" tint="-0.14999847407452621"/>
        <bgColor indexed="64"/>
      </patternFill>
    </fill>
    <fill>
      <patternFill patternType="solid">
        <fgColor rgb="FF00B0F0"/>
        <bgColor indexed="64"/>
      </patternFill>
    </fill>
    <fill>
      <patternFill patternType="solid">
        <fgColor theme="9" tint="0.59999389629810485"/>
        <bgColor indexed="64"/>
      </patternFill>
    </fill>
    <fill>
      <patternFill patternType="solid">
        <fgColor theme="0" tint="-4.9989318521683403E-2"/>
        <bgColor indexed="64"/>
      </patternFill>
    </fill>
  </fills>
  <borders count="7">
    <border>
      <left/>
      <right/>
      <top/>
      <bottom/>
      <diagonal/>
    </border>
    <border>
      <left style="medium">
        <color theme="5"/>
      </left>
      <right/>
      <top/>
      <bottom/>
      <diagonal/>
    </border>
    <border>
      <left/>
      <right style="medium">
        <color theme="5"/>
      </right>
      <top/>
      <bottom/>
      <diagonal/>
    </border>
    <border>
      <left style="medium">
        <color theme="5"/>
      </left>
      <right/>
      <top/>
      <bottom style="medium">
        <color theme="5"/>
      </bottom>
      <diagonal/>
    </border>
    <border>
      <left/>
      <right style="medium">
        <color theme="5"/>
      </right>
      <top/>
      <bottom style="medium">
        <color theme="5"/>
      </bottom>
      <diagonal/>
    </border>
    <border>
      <left style="medium">
        <color theme="5"/>
      </left>
      <right/>
      <top style="medium">
        <color theme="5"/>
      </top>
      <bottom style="medium">
        <color theme="5"/>
      </bottom>
      <diagonal/>
    </border>
    <border>
      <left/>
      <right style="medium">
        <color theme="5"/>
      </right>
      <top style="medium">
        <color theme="5"/>
      </top>
      <bottom style="medium">
        <color theme="5"/>
      </bottom>
      <diagonal/>
    </border>
  </borders>
  <cellStyleXfs count="2">
    <xf numFmtId="0" fontId="0" fillId="0" borderId="0"/>
    <xf numFmtId="9" fontId="1" fillId="0" borderId="0" applyFont="0" applyFill="0" applyBorder="0" applyAlignment="0" applyProtection="0"/>
  </cellStyleXfs>
  <cellXfs count="55">
    <xf numFmtId="0" fontId="0" fillId="0" borderId="0" xfId="0"/>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0" fillId="0" borderId="0" xfId="0" applyAlignment="1">
      <alignment horizontal="center" vertical="center"/>
    </xf>
    <xf numFmtId="10" fontId="0" fillId="0" borderId="0" xfId="1" applyNumberFormat="1" applyFont="1" applyAlignment="1">
      <alignment horizontal="center" vertical="center"/>
    </xf>
    <xf numFmtId="0" fontId="3" fillId="0" borderId="0" xfId="0" applyFont="1"/>
    <xf numFmtId="0" fontId="2" fillId="0" borderId="0" xfId="0" applyFont="1" applyAlignment="1">
      <alignment horizontal="center" vertical="center"/>
    </xf>
    <xf numFmtId="164" fontId="0" fillId="0" borderId="0" xfId="1" applyNumberFormat="1" applyFont="1" applyAlignment="1">
      <alignment horizontal="center" vertical="center"/>
    </xf>
    <xf numFmtId="164" fontId="0" fillId="5" borderId="0" xfId="1" applyNumberFormat="1" applyFont="1" applyFill="1"/>
    <xf numFmtId="0" fontId="4" fillId="5" borderId="0" xfId="0" applyFont="1" applyFill="1"/>
    <xf numFmtId="0" fontId="5" fillId="0" borderId="0" xfId="0" applyFont="1"/>
    <xf numFmtId="6" fontId="5" fillId="0" borderId="0" xfId="0" applyNumberFormat="1" applyFont="1"/>
    <xf numFmtId="0" fontId="4" fillId="0" borderId="0" xfId="0" applyFont="1"/>
    <xf numFmtId="1" fontId="0" fillId="0" borderId="0" xfId="0" applyNumberFormat="1"/>
    <xf numFmtId="0" fontId="6" fillId="0" borderId="0" xfId="0" applyFont="1" applyAlignment="1">
      <alignment vertical="center"/>
    </xf>
    <xf numFmtId="165" fontId="0" fillId="0" borderId="0" xfId="0" applyNumberFormat="1"/>
    <xf numFmtId="166" fontId="0" fillId="0" borderId="0" xfId="0" applyNumberFormat="1"/>
    <xf numFmtId="0" fontId="0" fillId="6" borderId="0" xfId="0" applyFill="1" applyAlignment="1">
      <alignment horizontal="center" vertical="center"/>
    </xf>
    <xf numFmtId="8" fontId="0" fillId="0" borderId="0" xfId="0" applyNumberFormat="1"/>
    <xf numFmtId="0" fontId="10" fillId="8" borderId="0" xfId="0" applyFont="1" applyFill="1" applyBorder="1" applyAlignment="1">
      <alignment horizontal="center" vertical="center"/>
    </xf>
    <xf numFmtId="0" fontId="0" fillId="0" borderId="1" xfId="0" applyBorder="1" applyAlignment="1">
      <alignment horizontal="center" vertical="center" wrapText="1"/>
    </xf>
    <xf numFmtId="0" fontId="0" fillId="5" borderId="2" xfId="0" applyFill="1" applyBorder="1" applyAlignment="1">
      <alignment horizontal="center" vertical="center" wrapText="1"/>
    </xf>
    <xf numFmtId="0" fontId="0" fillId="9" borderId="1" xfId="0" applyFill="1" applyBorder="1" applyAlignment="1">
      <alignment horizontal="center" vertical="center"/>
    </xf>
    <xf numFmtId="0" fontId="0" fillId="9" borderId="2" xfId="0" applyFill="1" applyBorder="1" applyAlignment="1">
      <alignment horizontal="center" vertical="center"/>
    </xf>
    <xf numFmtId="0" fontId="0" fillId="0" borderId="1" xfId="0" applyBorder="1" applyAlignment="1">
      <alignment horizontal="center" vertical="center"/>
    </xf>
    <xf numFmtId="0" fontId="0" fillId="5" borderId="2" xfId="0" applyFill="1" applyBorder="1" applyAlignment="1">
      <alignment horizontal="center" vertical="center"/>
    </xf>
    <xf numFmtId="0" fontId="6" fillId="0" borderId="1" xfId="0" applyFont="1" applyBorder="1" applyAlignment="1">
      <alignment vertical="center"/>
    </xf>
    <xf numFmtId="165" fontId="0" fillId="5" borderId="2" xfId="0" applyNumberFormat="1" applyFill="1" applyBorder="1" applyAlignment="1">
      <alignment horizontal="center" vertical="center"/>
    </xf>
    <xf numFmtId="0" fontId="0" fillId="0" borderId="3" xfId="0" applyBorder="1" applyAlignment="1">
      <alignment horizontal="center" vertical="center"/>
    </xf>
    <xf numFmtId="6" fontId="5" fillId="5" borderId="4" xfId="0" applyNumberFormat="1" applyFont="1" applyFill="1" applyBorder="1" applyAlignment="1">
      <alignment horizontal="center" vertical="center"/>
    </xf>
    <xf numFmtId="2" fontId="0" fillId="8" borderId="2" xfId="0" applyNumberFormat="1" applyFill="1" applyBorder="1" applyAlignment="1">
      <alignment horizontal="center" vertical="center"/>
    </xf>
    <xf numFmtId="10" fontId="0" fillId="8" borderId="2" xfId="1" applyNumberFormat="1" applyFont="1" applyFill="1" applyBorder="1" applyAlignment="1">
      <alignment horizontal="center" vertical="center"/>
    </xf>
    <xf numFmtId="167" fontId="0" fillId="8" borderId="2" xfId="0" applyNumberFormat="1" applyFill="1" applyBorder="1" applyAlignment="1">
      <alignment horizontal="center" vertical="center"/>
    </xf>
    <xf numFmtId="168" fontId="0" fillId="8" borderId="2" xfId="0" applyNumberFormat="1" applyFill="1" applyBorder="1" applyAlignment="1">
      <alignment horizontal="center" vertical="center"/>
    </xf>
    <xf numFmtId="165" fontId="0" fillId="8" borderId="2" xfId="0" applyNumberFormat="1" applyFill="1" applyBorder="1" applyAlignment="1">
      <alignment horizontal="center" vertical="center"/>
    </xf>
    <xf numFmtId="0" fontId="0" fillId="8" borderId="1" xfId="0" applyFill="1" applyBorder="1" applyAlignment="1">
      <alignment horizontal="center" vertical="center"/>
    </xf>
    <xf numFmtId="6" fontId="0" fillId="8" borderId="2" xfId="0" applyNumberFormat="1" applyFill="1" applyBorder="1" applyAlignment="1">
      <alignment horizontal="center" vertical="center"/>
    </xf>
    <xf numFmtId="0" fontId="7" fillId="8" borderId="1" xfId="0" applyFont="1" applyFill="1" applyBorder="1" applyAlignment="1">
      <alignment horizontal="center" vertical="center"/>
    </xf>
    <xf numFmtId="167" fontId="7" fillId="8" borderId="2" xfId="0" applyNumberFormat="1" applyFont="1" applyFill="1" applyBorder="1" applyAlignment="1">
      <alignment horizontal="center" vertical="center"/>
    </xf>
    <xf numFmtId="0" fontId="0" fillId="9" borderId="3" xfId="0" applyFill="1" applyBorder="1" applyAlignment="1">
      <alignment horizontal="center" vertical="center"/>
    </xf>
    <xf numFmtId="0" fontId="0" fillId="9" borderId="4" xfId="0" applyFill="1" applyBorder="1" applyAlignment="1">
      <alignment horizontal="center" vertical="center"/>
    </xf>
    <xf numFmtId="0" fontId="9" fillId="7" borderId="0" xfId="0" applyFont="1" applyFill="1" applyBorder="1" applyAlignment="1">
      <alignment horizontal="center" vertical="center"/>
    </xf>
    <xf numFmtId="0" fontId="10" fillId="5" borderId="0" xfId="0" applyFont="1" applyFill="1" applyBorder="1" applyAlignment="1">
      <alignment horizontal="center" vertical="center"/>
    </xf>
    <xf numFmtId="0" fontId="0" fillId="9" borderId="1" xfId="0" applyFill="1" applyBorder="1" applyAlignment="1">
      <alignment horizontal="center" vertical="center" wrapText="1"/>
    </xf>
    <xf numFmtId="10" fontId="0" fillId="5" borderId="2" xfId="1" applyNumberFormat="1" applyFont="1" applyFill="1" applyBorder="1" applyAlignment="1">
      <alignment horizontal="center" vertical="center"/>
    </xf>
    <xf numFmtId="0" fontId="8" fillId="6" borderId="0" xfId="0" applyFont="1" applyFill="1" applyAlignment="1">
      <alignment horizontal="center" vertical="center" wrapText="1"/>
    </xf>
    <xf numFmtId="0" fontId="9" fillId="7" borderId="1" xfId="0" applyFont="1" applyFill="1" applyBorder="1" applyAlignment="1">
      <alignment horizontal="center" vertical="center"/>
    </xf>
    <xf numFmtId="0" fontId="9" fillId="7" borderId="2" xfId="0" applyFont="1" applyFill="1" applyBorder="1" applyAlignment="1">
      <alignment horizontal="center" vertical="center"/>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0" fillId="0" borderId="0" xfId="0" applyAlignment="1">
      <alignment wrapText="1"/>
    </xf>
    <xf numFmtId="0" fontId="0" fillId="2" borderId="0" xfId="0" applyFill="1" applyAlignment="1">
      <alignment horizontal="center" vertical="center"/>
    </xf>
    <xf numFmtId="0" fontId="0" fillId="3" borderId="0" xfId="0" applyFill="1" applyAlignment="1">
      <alignment horizontal="center" vertical="center"/>
    </xf>
    <xf numFmtId="0" fontId="0" fillId="4" borderId="0" xfId="0" applyFill="1" applyAlignment="1">
      <alignment horizontal="center" vertical="center"/>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10</xdr:col>
      <xdr:colOff>511232</xdr:colOff>
      <xdr:row>1</xdr:row>
      <xdr:rowOff>124690</xdr:rowOff>
    </xdr:from>
    <xdr:to>
      <xdr:col>16</xdr:col>
      <xdr:colOff>20040</xdr:colOff>
      <xdr:row>22</xdr:row>
      <xdr:rowOff>0</xdr:rowOff>
    </xdr:to>
    <xdr:pic>
      <xdr:nvPicPr>
        <xdr:cNvPr id="2" name="Picture 1">
          <a:extLst>
            <a:ext uri="{FF2B5EF4-FFF2-40B4-BE49-F238E27FC236}">
              <a16:creationId xmlns:a16="http://schemas.microsoft.com/office/drawing/2014/main" id="{A5074FBF-B5C4-41C1-A010-9FAFEE13EF25}"/>
            </a:ext>
          </a:extLst>
        </xdr:cNvPr>
        <xdr:cNvPicPr>
          <a:picLocks noChangeAspect="1"/>
        </xdr:cNvPicPr>
      </xdr:nvPicPr>
      <xdr:blipFill rotWithShape="1">
        <a:blip xmlns:r="http://schemas.openxmlformats.org/officeDocument/2006/relationships" r:embed="rId1"/>
        <a:srcRect l="33652" t="34463" r="30586" b="27654"/>
        <a:stretch/>
      </xdr:blipFill>
      <xdr:spPr>
        <a:xfrm>
          <a:off x="7133012" y="307570"/>
          <a:ext cx="6539346" cy="3898670"/>
        </a:xfrm>
        <a:prstGeom prst="rect">
          <a:avLst/>
        </a:prstGeom>
      </xdr:spPr>
    </xdr:pic>
    <xdr:clientData/>
  </xdr:twoCellAnchor>
  <xdr:twoCellAnchor editAs="oneCell">
    <xdr:from>
      <xdr:col>10</xdr:col>
      <xdr:colOff>359228</xdr:colOff>
      <xdr:row>26</xdr:row>
      <xdr:rowOff>85998</xdr:rowOff>
    </xdr:from>
    <xdr:to>
      <xdr:col>18</xdr:col>
      <xdr:colOff>458833</xdr:colOff>
      <xdr:row>48</xdr:row>
      <xdr:rowOff>124098</xdr:rowOff>
    </xdr:to>
    <xdr:pic>
      <xdr:nvPicPr>
        <xdr:cNvPr id="3" name="Picture 2">
          <a:extLst>
            <a:ext uri="{FF2B5EF4-FFF2-40B4-BE49-F238E27FC236}">
              <a16:creationId xmlns:a16="http://schemas.microsoft.com/office/drawing/2014/main" id="{B245D5C0-2203-4E52-B9B0-6F7D6B2D35C0}"/>
            </a:ext>
          </a:extLst>
        </xdr:cNvPr>
        <xdr:cNvPicPr>
          <a:picLocks noChangeAspect="1"/>
        </xdr:cNvPicPr>
      </xdr:nvPicPr>
      <xdr:blipFill rotWithShape="1">
        <a:blip xmlns:r="http://schemas.openxmlformats.org/officeDocument/2006/relationships" r:embed="rId2"/>
        <a:srcRect l="28441" t="39301" r="25304" b="21221"/>
        <a:stretch/>
      </xdr:blipFill>
      <xdr:spPr>
        <a:xfrm>
          <a:off x="6972299" y="5433605"/>
          <a:ext cx="8345534" cy="4229100"/>
        </a:xfrm>
        <a:prstGeom prst="rect">
          <a:avLst/>
        </a:prstGeom>
      </xdr:spPr>
    </xdr:pic>
    <xdr:clientData/>
  </xdr:twoCellAnchor>
  <xdr:twoCellAnchor editAs="oneCell">
    <xdr:from>
      <xdr:col>17</xdr:col>
      <xdr:colOff>149678</xdr:colOff>
      <xdr:row>1</xdr:row>
      <xdr:rowOff>68035</xdr:rowOff>
    </xdr:from>
    <xdr:to>
      <xdr:col>21</xdr:col>
      <xdr:colOff>541564</xdr:colOff>
      <xdr:row>10</xdr:row>
      <xdr:rowOff>115660</xdr:rowOff>
    </xdr:to>
    <xdr:pic>
      <xdr:nvPicPr>
        <xdr:cNvPr id="4" name="Picture 3">
          <a:extLst>
            <a:ext uri="{FF2B5EF4-FFF2-40B4-BE49-F238E27FC236}">
              <a16:creationId xmlns:a16="http://schemas.microsoft.com/office/drawing/2014/main" id="{5A22A0CB-93A5-4A78-82F9-AC7678051F35}"/>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579928" y="258535"/>
          <a:ext cx="2841171" cy="1952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108856</xdr:colOff>
      <xdr:row>10</xdr:row>
      <xdr:rowOff>163286</xdr:rowOff>
    </xdr:from>
    <xdr:to>
      <xdr:col>27</xdr:col>
      <xdr:colOff>156481</xdr:colOff>
      <xdr:row>24</xdr:row>
      <xdr:rowOff>334736</xdr:rowOff>
    </xdr:to>
    <xdr:pic>
      <xdr:nvPicPr>
        <xdr:cNvPr id="5" name="Picture 4">
          <a:extLst>
            <a:ext uri="{FF2B5EF4-FFF2-40B4-BE49-F238E27FC236}">
              <a16:creationId xmlns:a16="http://schemas.microsoft.com/office/drawing/2014/main" id="{BBCB7D58-6427-4B25-93A5-0F2B97EE2801}"/>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355535" y="2258786"/>
          <a:ext cx="8361589" cy="2838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268877</xdr:colOff>
      <xdr:row>0</xdr:row>
      <xdr:rowOff>25037</xdr:rowOff>
    </xdr:from>
    <xdr:to>
      <xdr:col>14</xdr:col>
      <xdr:colOff>267788</xdr:colOff>
      <xdr:row>10</xdr:row>
      <xdr:rowOff>9798</xdr:rowOff>
    </xdr:to>
    <xdr:pic>
      <xdr:nvPicPr>
        <xdr:cNvPr id="2" name="Picture 1">
          <a:extLst>
            <a:ext uri="{FF2B5EF4-FFF2-40B4-BE49-F238E27FC236}">
              <a16:creationId xmlns:a16="http://schemas.microsoft.com/office/drawing/2014/main" id="{89C770AD-B129-4781-909A-2FD1DFF9D9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20591" y="25037"/>
          <a:ext cx="4266111" cy="18353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435428</xdr:colOff>
      <xdr:row>0</xdr:row>
      <xdr:rowOff>59871</xdr:rowOff>
    </xdr:from>
    <xdr:to>
      <xdr:col>21</xdr:col>
      <xdr:colOff>526868</xdr:colOff>
      <xdr:row>18</xdr:row>
      <xdr:rowOff>90351</xdr:rowOff>
    </xdr:to>
    <xdr:pic>
      <xdr:nvPicPr>
        <xdr:cNvPr id="3" name="Picture 2">
          <a:extLst>
            <a:ext uri="{FF2B5EF4-FFF2-40B4-BE49-F238E27FC236}">
              <a16:creationId xmlns:a16="http://schemas.microsoft.com/office/drawing/2014/main" id="{61055391-AC36-4F40-ADEB-CE161DA8437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254342" y="59871"/>
          <a:ext cx="4358640" cy="336150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persons/person.xml><?xml version="1.0" encoding="utf-8"?>
<personList xmlns="http://schemas.microsoft.com/office/spreadsheetml/2018/threadedcomments" xmlns:x="http://schemas.openxmlformats.org/spreadsheetml/2006/main">
  <person displayName="Roozbeh Rahmani" id="{DC61869A-BEAE-4362-8496-E4FF2539E6F6}" userId="17f0562ce1f157d0" providerId="Windows Liv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8" dT="2020-09-17T12:59:55.17" personId="{DC61869A-BEAE-4362-8496-E4FF2539E6F6}" id="{7CDC73CE-D6A5-48EC-88CB-23E47AF33412}">
    <text>The yearly average in FL between 2015 to 2019 is 3520 crashes</text>
  </threadedComment>
  <threadedComment ref="C15" dT="2020-09-17T12:17:11.95" personId="{DC61869A-BEAE-4362-8496-E4FF2539E6F6}" id="{5AEFFA74-D115-4857-AE2E-2EE56A951EC9}">
    <text>Default value is $0 if agency owns the truck</text>
  </threadedComment>
  <threadedComment ref="C16" dT="2020-09-17T12:17:25.22" personId="{DC61869A-BEAE-4362-8496-E4FF2539E6F6}" id="{CA4F43F7-CEF9-41C8-8D66-8135DFDA5581}">
    <text>Default value is $0 if agency owns the truck</text>
  </threadedComment>
  <threadedComment ref="C17" dT="2020-09-17T12:18:02.14" personId="{DC61869A-BEAE-4362-8496-E4FF2539E6F6}" id="{4D5E178E-AC48-4115-B070-33FDE102B790}">
    <text>Default value is $250,000</text>
  </threadedComment>
  <threadedComment ref="C18" dT="2020-09-17T12:18:20.50" personId="{DC61869A-BEAE-4362-8496-E4FF2539E6F6}" id="{3EC2A212-1436-49A4-8B18-188C65A47F9C}">
    <text>Default value is $40,000</text>
  </threadedComment>
  <threadedComment ref="C19" dT="2020-09-17T12:18:50.94" personId="{DC61869A-BEAE-4362-8496-E4FF2539E6F6}" id="{BD8B6565-F57D-41F4-96E0-D0BF400C2ECB}">
    <text>Default value is $5,000 per year</text>
  </threadedComment>
  <threadedComment ref="C21" dT="2020-09-17T12:52:33.17" personId="{DC61869A-BEAE-4362-8496-E4FF2539E6F6}" id="{EC48F5AF-3DBA-4ADE-A0E3-3F0012539FA1}">
    <text>The weighted average of fatal/injury crashes on all facility types in FL is $377,460</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EZ432"/>
  <sheetViews>
    <sheetView tabSelected="1" zoomScale="85" zoomScaleNormal="85" workbookViewId="0">
      <selection activeCell="C14" sqref="C14"/>
    </sheetView>
  </sheetViews>
  <sheetFormatPr defaultColWidth="8.85546875" defaultRowHeight="15" x14ac:dyDescent="0.25"/>
  <cols>
    <col min="1" max="1" width="29.5703125" style="4" customWidth="1"/>
    <col min="2" max="2" width="29.7109375" style="4" bestFit="1" customWidth="1"/>
    <col min="3" max="3" width="10.28515625" style="18" bestFit="1" customWidth="1"/>
    <col min="4" max="4" width="3" style="4" customWidth="1"/>
    <col min="5" max="5" width="24.42578125" style="4" bestFit="1" customWidth="1"/>
    <col min="6" max="6" width="11" style="18" bestFit="1" customWidth="1"/>
    <col min="7" max="9" width="8.85546875" style="18"/>
    <col min="10" max="10" width="9.7109375" style="18" bestFit="1" customWidth="1"/>
    <col min="11" max="156" width="8.85546875" style="18"/>
    <col min="157" max="16384" width="8.85546875" style="4"/>
  </cols>
  <sheetData>
    <row r="1" spans="1:6" x14ac:dyDescent="0.25">
      <c r="A1" s="18"/>
      <c r="B1" s="18"/>
      <c r="D1" s="18"/>
      <c r="E1" s="18"/>
    </row>
    <row r="2" spans="1:6" ht="15" customHeight="1" x14ac:dyDescent="0.25">
      <c r="A2" s="18"/>
      <c r="B2" s="46" t="s">
        <v>83</v>
      </c>
      <c r="C2" s="46"/>
      <c r="D2" s="46"/>
      <c r="E2" s="46"/>
      <c r="F2" s="46"/>
    </row>
    <row r="3" spans="1:6" ht="15" customHeight="1" x14ac:dyDescent="0.25">
      <c r="A3" s="18"/>
      <c r="B3" s="46"/>
      <c r="C3" s="46"/>
      <c r="D3" s="46"/>
      <c r="E3" s="46"/>
      <c r="F3" s="46"/>
    </row>
    <row r="4" spans="1:6" ht="15" customHeight="1" x14ac:dyDescent="0.25">
      <c r="A4" s="18"/>
      <c r="B4" s="46"/>
      <c r="C4" s="46"/>
      <c r="D4" s="46"/>
      <c r="E4" s="46"/>
      <c r="F4" s="46"/>
    </row>
    <row r="5" spans="1:6" ht="15.75" thickBot="1" x14ac:dyDescent="0.3">
      <c r="A5" s="18"/>
      <c r="B5" s="46"/>
      <c r="C5" s="46"/>
      <c r="D5" s="46"/>
      <c r="E5" s="46"/>
      <c r="F5" s="46"/>
    </row>
    <row r="6" spans="1:6" ht="27" thickBot="1" x14ac:dyDescent="0.3">
      <c r="A6" s="18"/>
      <c r="B6" s="49" t="s">
        <v>55</v>
      </c>
      <c r="C6" s="50"/>
      <c r="D6" s="18"/>
      <c r="E6" s="49" t="s">
        <v>58</v>
      </c>
      <c r="F6" s="50"/>
    </row>
    <row r="7" spans="1:6" x14ac:dyDescent="0.25">
      <c r="A7" s="18"/>
      <c r="B7" s="47" t="s">
        <v>57</v>
      </c>
      <c r="C7" s="48"/>
      <c r="D7" s="18"/>
      <c r="E7" s="47" t="s">
        <v>59</v>
      </c>
      <c r="F7" s="48"/>
    </row>
    <row r="8" spans="1:6" ht="28.9" customHeight="1" x14ac:dyDescent="0.25">
      <c r="A8" s="18"/>
      <c r="B8" s="21" t="s">
        <v>78</v>
      </c>
      <c r="C8" s="22">
        <v>3520</v>
      </c>
      <c r="D8" s="18"/>
      <c r="E8" s="21" t="s">
        <v>56</v>
      </c>
      <c r="F8" s="31">
        <f>C8*Sheet2!$B$29</f>
        <v>39.914953933380581</v>
      </c>
    </row>
    <row r="9" spans="1:6" ht="60" x14ac:dyDescent="0.25">
      <c r="A9" s="18"/>
      <c r="B9" s="23"/>
      <c r="C9" s="24"/>
      <c r="D9" s="18"/>
      <c r="E9" s="21" t="s">
        <v>82</v>
      </c>
      <c r="F9" s="31">
        <f>F8*Sheet2!$Q$26</f>
        <v>7.8465294057072938</v>
      </c>
    </row>
    <row r="10" spans="1:6" x14ac:dyDescent="0.25">
      <c r="A10" s="18"/>
      <c r="B10" s="47" t="s">
        <v>61</v>
      </c>
      <c r="C10" s="48"/>
      <c r="D10" s="18"/>
      <c r="E10" s="47" t="s">
        <v>62</v>
      </c>
      <c r="F10" s="48"/>
    </row>
    <row r="11" spans="1:6" ht="30" x14ac:dyDescent="0.25">
      <c r="A11" s="18"/>
      <c r="B11" s="25" t="s">
        <v>60</v>
      </c>
      <c r="C11" s="26">
        <v>25</v>
      </c>
      <c r="D11" s="18"/>
      <c r="E11" s="21" t="s">
        <v>80</v>
      </c>
      <c r="F11" s="32">
        <f>(1+C11)^-1</f>
        <v>3.8461538461538464E-2</v>
      </c>
    </row>
    <row r="12" spans="1:6" ht="90" x14ac:dyDescent="0.25">
      <c r="A12" s="18"/>
      <c r="B12" s="44" t="s">
        <v>84</v>
      </c>
      <c r="C12" s="45">
        <v>0.05</v>
      </c>
      <c r="D12" s="18"/>
      <c r="E12" s="21" t="s">
        <v>81</v>
      </c>
      <c r="F12" s="33">
        <f>IF(C12&gt;0,C12*F9,F9*F11)</f>
        <v>0.39232647028536471</v>
      </c>
    </row>
    <row r="13" spans="1:6" x14ac:dyDescent="0.25">
      <c r="A13" s="18"/>
      <c r="B13" s="47" t="s">
        <v>71</v>
      </c>
      <c r="C13" s="48"/>
      <c r="D13" s="18"/>
      <c r="E13" s="47" t="s">
        <v>70</v>
      </c>
      <c r="F13" s="48"/>
    </row>
    <row r="14" spans="1:6" x14ac:dyDescent="0.25">
      <c r="A14" s="18"/>
      <c r="B14" s="27" t="s">
        <v>68</v>
      </c>
      <c r="C14" s="26">
        <v>6</v>
      </c>
      <c r="D14" s="18"/>
      <c r="E14" s="25" t="s">
        <v>63</v>
      </c>
      <c r="F14" s="34">
        <f>(1-(1+0.04)^(-C14))/0.04</f>
        <v>5.2421368567463569</v>
      </c>
    </row>
    <row r="15" spans="1:6" x14ac:dyDescent="0.25">
      <c r="A15" s="18"/>
      <c r="B15" s="27" t="s">
        <v>67</v>
      </c>
      <c r="C15" s="28">
        <v>0</v>
      </c>
      <c r="D15" s="18"/>
      <c r="E15" s="25" t="s">
        <v>77</v>
      </c>
      <c r="F15" s="35">
        <f>SUM(C15:C18)+C19*C14</f>
        <v>256000</v>
      </c>
    </row>
    <row r="16" spans="1:6" x14ac:dyDescent="0.25">
      <c r="A16" s="18"/>
      <c r="B16" s="27" t="s">
        <v>66</v>
      </c>
      <c r="C16" s="28">
        <v>0</v>
      </c>
      <c r="D16" s="18"/>
      <c r="E16" s="23"/>
      <c r="F16" s="24"/>
    </row>
    <row r="17" spans="1:6" x14ac:dyDescent="0.25">
      <c r="A17" s="18"/>
      <c r="B17" s="27" t="s">
        <v>65</v>
      </c>
      <c r="C17" s="28">
        <v>250000</v>
      </c>
      <c r="D17" s="18"/>
      <c r="E17" s="23"/>
      <c r="F17" s="24"/>
    </row>
    <row r="18" spans="1:6" x14ac:dyDescent="0.25">
      <c r="A18" s="18"/>
      <c r="B18" s="27" t="s">
        <v>64</v>
      </c>
      <c r="C18" s="28">
        <v>0</v>
      </c>
      <c r="D18" s="18"/>
      <c r="E18" s="47" t="s">
        <v>73</v>
      </c>
      <c r="F18" s="48"/>
    </row>
    <row r="19" spans="1:6" x14ac:dyDescent="0.25">
      <c r="A19" s="18"/>
      <c r="B19" s="27" t="s">
        <v>69</v>
      </c>
      <c r="C19" s="28">
        <v>1000</v>
      </c>
      <c r="D19" s="18"/>
      <c r="E19" s="36" t="s">
        <v>74</v>
      </c>
      <c r="F19" s="37">
        <f>C21*F12*F14</f>
        <v>819976.35683611792</v>
      </c>
    </row>
    <row r="20" spans="1:6" ht="18.75" x14ac:dyDescent="0.25">
      <c r="A20" s="18"/>
      <c r="B20" s="47" t="s">
        <v>73</v>
      </c>
      <c r="C20" s="48"/>
      <c r="D20" s="18"/>
      <c r="E20" s="38" t="s">
        <v>75</v>
      </c>
      <c r="F20" s="39">
        <f>F19/F15</f>
        <v>3.2030326438910857</v>
      </c>
    </row>
    <row r="21" spans="1:6" ht="15.75" thickBot="1" x14ac:dyDescent="0.3">
      <c r="A21" s="18"/>
      <c r="B21" s="29" t="s">
        <v>72</v>
      </c>
      <c r="C21" s="30">
        <v>398699.2</v>
      </c>
      <c r="D21" s="18"/>
      <c r="E21" s="40"/>
      <c r="F21" s="41"/>
    </row>
    <row r="22" spans="1:6" s="18" customFormat="1" x14ac:dyDescent="0.25"/>
    <row r="23" spans="1:6" x14ac:dyDescent="0.25">
      <c r="A23" s="18"/>
      <c r="B23" s="18"/>
      <c r="D23" s="18"/>
      <c r="E23" s="18"/>
    </row>
    <row r="24" spans="1:6" x14ac:dyDescent="0.25">
      <c r="A24" s="18"/>
      <c r="B24" s="18"/>
      <c r="C24" s="42" t="s">
        <v>76</v>
      </c>
      <c r="D24" s="18"/>
      <c r="E24" s="18"/>
    </row>
    <row r="25" spans="1:6" x14ac:dyDescent="0.25">
      <c r="A25" s="18"/>
      <c r="B25" s="18"/>
      <c r="C25" s="43" t="s">
        <v>79</v>
      </c>
      <c r="D25" s="18"/>
      <c r="E25" s="18"/>
    </row>
    <row r="26" spans="1:6" s="18" customFormat="1" x14ac:dyDescent="0.25">
      <c r="C26" s="20" t="s">
        <v>58</v>
      </c>
    </row>
    <row r="27" spans="1:6" s="18" customFormat="1" x14ac:dyDescent="0.25"/>
    <row r="28" spans="1:6" s="18" customFormat="1" x14ac:dyDescent="0.25"/>
    <row r="29" spans="1:6" s="18" customFormat="1" x14ac:dyDescent="0.25"/>
    <row r="30" spans="1:6" s="18" customFormat="1" x14ac:dyDescent="0.25"/>
    <row r="31" spans="1:6" s="18" customFormat="1" x14ac:dyDescent="0.25"/>
    <row r="32" spans="1:6" s="18" customFormat="1" x14ac:dyDescent="0.25"/>
    <row r="33" s="18" customFormat="1" x14ac:dyDescent="0.25"/>
    <row r="34" s="18" customFormat="1" x14ac:dyDescent="0.25"/>
    <row r="35" s="18" customFormat="1" x14ac:dyDescent="0.25"/>
    <row r="36" s="18" customFormat="1" x14ac:dyDescent="0.25"/>
    <row r="37" s="18" customFormat="1" x14ac:dyDescent="0.25"/>
    <row r="38" s="18" customFormat="1" x14ac:dyDescent="0.25"/>
    <row r="39" s="18" customFormat="1" x14ac:dyDescent="0.25"/>
    <row r="40" s="18" customFormat="1" x14ac:dyDescent="0.25"/>
    <row r="41" s="18" customFormat="1" x14ac:dyDescent="0.25"/>
    <row r="42" s="18" customFormat="1" x14ac:dyDescent="0.25"/>
    <row r="43" s="18" customFormat="1" x14ac:dyDescent="0.25"/>
    <row r="44" s="18" customFormat="1" x14ac:dyDescent="0.25"/>
    <row r="45" s="18" customFormat="1" x14ac:dyDescent="0.25"/>
    <row r="46" s="18" customFormat="1" x14ac:dyDescent="0.25"/>
    <row r="47" s="18" customFormat="1" x14ac:dyDescent="0.25"/>
    <row r="48" s="18" customFormat="1" x14ac:dyDescent="0.25"/>
    <row r="49" s="18" customFormat="1" x14ac:dyDescent="0.25"/>
    <row r="50" s="18" customFormat="1" x14ac:dyDescent="0.25"/>
    <row r="51" s="18" customFormat="1" x14ac:dyDescent="0.25"/>
    <row r="52" s="18" customFormat="1" x14ac:dyDescent="0.25"/>
    <row r="53" s="18" customFormat="1" x14ac:dyDescent="0.25"/>
    <row r="54" s="18" customFormat="1" x14ac:dyDescent="0.25"/>
    <row r="55" s="18" customFormat="1" x14ac:dyDescent="0.25"/>
    <row r="56" s="18" customFormat="1" x14ac:dyDescent="0.25"/>
    <row r="57" s="18" customFormat="1" x14ac:dyDescent="0.25"/>
    <row r="58" s="18" customFormat="1" x14ac:dyDescent="0.25"/>
    <row r="59" s="18" customFormat="1" x14ac:dyDescent="0.25"/>
    <row r="60" s="18" customFormat="1" x14ac:dyDescent="0.25"/>
    <row r="61" s="18" customFormat="1" x14ac:dyDescent="0.25"/>
    <row r="62" s="18" customFormat="1" x14ac:dyDescent="0.25"/>
    <row r="63" s="18" customFormat="1" x14ac:dyDescent="0.25"/>
    <row r="64" s="18" customFormat="1" x14ac:dyDescent="0.25"/>
    <row r="65" s="18" customFormat="1" x14ac:dyDescent="0.25"/>
    <row r="66" s="18" customFormat="1" x14ac:dyDescent="0.25"/>
    <row r="67" s="18" customFormat="1" x14ac:dyDescent="0.25"/>
    <row r="68" s="18" customFormat="1" x14ac:dyDescent="0.25"/>
    <row r="69" s="18" customFormat="1" x14ac:dyDescent="0.25"/>
    <row r="70" s="18" customFormat="1" x14ac:dyDescent="0.25"/>
    <row r="71" s="18" customFormat="1" x14ac:dyDescent="0.25"/>
    <row r="72" s="18" customFormat="1" x14ac:dyDescent="0.25"/>
    <row r="73" s="18" customFormat="1" x14ac:dyDescent="0.25"/>
    <row r="74" s="18" customFormat="1" x14ac:dyDescent="0.25"/>
    <row r="75" s="18" customFormat="1" x14ac:dyDescent="0.25"/>
    <row r="76" s="18" customFormat="1" x14ac:dyDescent="0.25"/>
    <row r="77" s="18" customFormat="1" x14ac:dyDescent="0.25"/>
    <row r="78" s="18" customFormat="1" x14ac:dyDescent="0.25"/>
    <row r="79" s="18" customFormat="1" x14ac:dyDescent="0.25"/>
    <row r="80" s="18" customFormat="1" x14ac:dyDescent="0.25"/>
    <row r="81" s="18" customFormat="1" x14ac:dyDescent="0.25"/>
    <row r="82" s="18" customFormat="1" x14ac:dyDescent="0.25"/>
    <row r="83" s="18" customFormat="1" x14ac:dyDescent="0.25"/>
    <row r="84" s="18" customFormat="1" x14ac:dyDescent="0.25"/>
    <row r="85" s="18" customFormat="1" x14ac:dyDescent="0.25"/>
    <row r="86" s="18" customFormat="1" x14ac:dyDescent="0.25"/>
    <row r="87" s="18" customFormat="1" x14ac:dyDescent="0.25"/>
    <row r="88" s="18" customFormat="1" x14ac:dyDescent="0.25"/>
    <row r="89" s="18" customFormat="1" x14ac:dyDescent="0.25"/>
    <row r="90" s="18" customFormat="1" x14ac:dyDescent="0.25"/>
    <row r="91" s="18" customFormat="1" x14ac:dyDescent="0.25"/>
    <row r="92" s="18" customFormat="1" x14ac:dyDescent="0.25"/>
    <row r="93" s="18" customFormat="1" x14ac:dyDescent="0.25"/>
    <row r="94" s="18" customFormat="1" x14ac:dyDescent="0.25"/>
    <row r="95" s="18" customFormat="1" x14ac:dyDescent="0.25"/>
    <row r="96" s="18" customFormat="1" x14ac:dyDescent="0.25"/>
    <row r="97" s="18" customFormat="1" x14ac:dyDescent="0.25"/>
    <row r="98" s="18" customFormat="1" x14ac:dyDescent="0.25"/>
    <row r="99" s="18" customFormat="1" x14ac:dyDescent="0.25"/>
    <row r="100" s="18" customFormat="1" x14ac:dyDescent="0.25"/>
    <row r="101" s="18" customFormat="1" x14ac:dyDescent="0.25"/>
    <row r="102" s="18" customFormat="1" x14ac:dyDescent="0.25"/>
    <row r="103" s="18" customFormat="1" x14ac:dyDescent="0.25"/>
    <row r="104" s="18" customFormat="1" x14ac:dyDescent="0.25"/>
    <row r="105" s="18" customFormat="1" x14ac:dyDescent="0.25"/>
    <row r="106" s="18" customFormat="1" x14ac:dyDescent="0.25"/>
    <row r="107" s="18" customFormat="1" x14ac:dyDescent="0.25"/>
    <row r="108" s="18" customFormat="1" x14ac:dyDescent="0.25"/>
    <row r="109" s="18" customFormat="1" x14ac:dyDescent="0.25"/>
    <row r="110" s="18" customFormat="1" x14ac:dyDescent="0.25"/>
    <row r="111" s="18" customFormat="1" x14ac:dyDescent="0.25"/>
    <row r="112" s="18" customFormat="1" x14ac:dyDescent="0.25"/>
    <row r="113" s="18" customFormat="1" x14ac:dyDescent="0.25"/>
    <row r="114" s="18" customFormat="1" x14ac:dyDescent="0.25"/>
    <row r="115" s="18" customFormat="1" x14ac:dyDescent="0.25"/>
    <row r="116" s="18" customFormat="1" x14ac:dyDescent="0.25"/>
    <row r="117" s="18" customFormat="1" x14ac:dyDescent="0.25"/>
    <row r="118" s="18" customFormat="1" x14ac:dyDescent="0.25"/>
    <row r="119" s="18" customFormat="1" x14ac:dyDescent="0.25"/>
    <row r="120" s="18" customFormat="1" x14ac:dyDescent="0.25"/>
    <row r="121" s="18" customFormat="1" x14ac:dyDescent="0.25"/>
    <row r="122" s="18" customFormat="1" x14ac:dyDescent="0.25"/>
    <row r="123" s="18" customFormat="1" x14ac:dyDescent="0.25"/>
    <row r="124" s="18" customFormat="1" x14ac:dyDescent="0.25"/>
    <row r="125" s="18" customFormat="1" x14ac:dyDescent="0.25"/>
    <row r="126" s="18" customFormat="1" x14ac:dyDescent="0.25"/>
    <row r="127" s="18" customFormat="1" x14ac:dyDescent="0.25"/>
    <row r="128" s="18" customFormat="1" x14ac:dyDescent="0.25"/>
    <row r="129" s="18" customFormat="1" x14ac:dyDescent="0.25"/>
    <row r="130" s="18" customFormat="1" x14ac:dyDescent="0.25"/>
    <row r="131" s="18" customFormat="1" x14ac:dyDescent="0.25"/>
    <row r="132" s="18" customFormat="1" x14ac:dyDescent="0.25"/>
    <row r="133" s="18" customFormat="1" x14ac:dyDescent="0.25"/>
    <row r="134" s="18" customFormat="1" x14ac:dyDescent="0.25"/>
    <row r="135" s="18" customFormat="1" x14ac:dyDescent="0.25"/>
    <row r="136" s="18" customFormat="1" x14ac:dyDescent="0.25"/>
    <row r="137" s="18" customFormat="1" x14ac:dyDescent="0.25"/>
    <row r="138" s="18" customFormat="1" x14ac:dyDescent="0.25"/>
    <row r="139" s="18" customFormat="1" x14ac:dyDescent="0.25"/>
    <row r="140" s="18" customFormat="1" x14ac:dyDescent="0.25"/>
    <row r="141" s="18" customFormat="1" x14ac:dyDescent="0.25"/>
    <row r="142" s="18" customFormat="1" x14ac:dyDescent="0.25"/>
    <row r="143" s="18" customFormat="1" x14ac:dyDescent="0.25"/>
    <row r="144" s="18" customFormat="1" x14ac:dyDescent="0.25"/>
    <row r="145" s="18" customFormat="1" x14ac:dyDescent="0.25"/>
    <row r="146" s="18" customFormat="1" x14ac:dyDescent="0.25"/>
    <row r="147" s="18" customFormat="1" x14ac:dyDescent="0.25"/>
    <row r="148" s="18" customFormat="1" x14ac:dyDescent="0.25"/>
    <row r="149" s="18" customFormat="1" x14ac:dyDescent="0.25"/>
    <row r="150" s="18" customFormat="1" x14ac:dyDescent="0.25"/>
    <row r="151" s="18" customFormat="1" x14ac:dyDescent="0.25"/>
    <row r="152" s="18" customFormat="1" x14ac:dyDescent="0.25"/>
    <row r="153" s="18" customFormat="1" x14ac:dyDescent="0.25"/>
    <row r="154" s="18" customFormat="1" x14ac:dyDescent="0.25"/>
    <row r="155" s="18" customFormat="1" x14ac:dyDescent="0.25"/>
    <row r="156" s="18" customFormat="1" x14ac:dyDescent="0.25"/>
    <row r="157" s="18" customFormat="1" x14ac:dyDescent="0.25"/>
    <row r="158" s="18" customFormat="1" x14ac:dyDescent="0.25"/>
    <row r="159" s="18" customFormat="1" x14ac:dyDescent="0.25"/>
    <row r="160" s="18" customFormat="1" x14ac:dyDescent="0.25"/>
    <row r="161" s="18" customFormat="1" x14ac:dyDescent="0.25"/>
    <row r="162" s="18" customFormat="1" x14ac:dyDescent="0.25"/>
    <row r="163" s="18" customFormat="1" x14ac:dyDescent="0.25"/>
    <row r="164" s="18" customFormat="1" x14ac:dyDescent="0.25"/>
    <row r="165" s="18" customFormat="1" x14ac:dyDescent="0.25"/>
    <row r="166" s="18" customFormat="1" x14ac:dyDescent="0.25"/>
    <row r="167" s="18" customFormat="1" x14ac:dyDescent="0.25"/>
    <row r="168" s="18" customFormat="1" x14ac:dyDescent="0.25"/>
    <row r="169" s="18" customFormat="1" x14ac:dyDescent="0.25"/>
    <row r="170" s="18" customFormat="1" x14ac:dyDescent="0.25"/>
    <row r="171" s="18" customFormat="1" x14ac:dyDescent="0.25"/>
    <row r="172" s="18" customFormat="1" x14ac:dyDescent="0.25"/>
    <row r="173" s="18" customFormat="1" x14ac:dyDescent="0.25"/>
    <row r="174" s="18" customFormat="1" x14ac:dyDescent="0.25"/>
    <row r="175" s="18" customFormat="1" x14ac:dyDescent="0.25"/>
    <row r="176" s="18" customFormat="1" x14ac:dyDescent="0.25"/>
    <row r="177" s="18" customFormat="1" x14ac:dyDescent="0.25"/>
    <row r="178" s="18" customFormat="1" x14ac:dyDescent="0.25"/>
    <row r="179" s="18" customFormat="1" x14ac:dyDescent="0.25"/>
    <row r="180" s="18" customFormat="1" x14ac:dyDescent="0.25"/>
    <row r="181" s="18" customFormat="1" x14ac:dyDescent="0.25"/>
    <row r="182" s="18" customFormat="1" x14ac:dyDescent="0.25"/>
    <row r="183" s="18" customFormat="1" x14ac:dyDescent="0.25"/>
    <row r="184" s="18" customFormat="1" x14ac:dyDescent="0.25"/>
    <row r="185" s="18" customFormat="1" x14ac:dyDescent="0.25"/>
    <row r="186" s="18" customFormat="1" x14ac:dyDescent="0.25"/>
    <row r="187" s="18" customFormat="1" x14ac:dyDescent="0.25"/>
    <row r="188" s="18" customFormat="1" x14ac:dyDescent="0.25"/>
    <row r="189" s="18" customFormat="1" x14ac:dyDescent="0.25"/>
    <row r="190" s="18" customFormat="1" x14ac:dyDescent="0.25"/>
    <row r="191" s="18" customFormat="1" x14ac:dyDescent="0.25"/>
    <row r="192" s="18" customFormat="1" x14ac:dyDescent="0.25"/>
    <row r="193" s="18" customFormat="1" x14ac:dyDescent="0.25"/>
    <row r="194" s="18" customFormat="1" x14ac:dyDescent="0.25"/>
    <row r="195" s="18" customFormat="1" x14ac:dyDescent="0.25"/>
    <row r="196" s="18" customFormat="1" x14ac:dyDescent="0.25"/>
    <row r="197" s="18" customFormat="1" x14ac:dyDescent="0.25"/>
    <row r="198" s="18" customFormat="1" x14ac:dyDescent="0.25"/>
    <row r="199" s="18" customFormat="1" x14ac:dyDescent="0.25"/>
    <row r="200" s="18" customFormat="1" x14ac:dyDescent="0.25"/>
    <row r="201" s="18" customFormat="1" x14ac:dyDescent="0.25"/>
    <row r="202" s="18" customFormat="1" x14ac:dyDescent="0.25"/>
    <row r="203" s="18" customFormat="1" x14ac:dyDescent="0.25"/>
    <row r="204" s="18" customFormat="1" x14ac:dyDescent="0.25"/>
    <row r="205" s="18" customFormat="1" x14ac:dyDescent="0.25"/>
    <row r="206" s="18" customFormat="1" x14ac:dyDescent="0.25"/>
    <row r="207" s="18" customFormat="1" x14ac:dyDescent="0.25"/>
    <row r="208" s="18" customFormat="1" x14ac:dyDescent="0.25"/>
    <row r="209" s="18" customFormat="1" x14ac:dyDescent="0.25"/>
    <row r="210" s="18" customFormat="1" x14ac:dyDescent="0.25"/>
    <row r="211" s="18" customFormat="1" x14ac:dyDescent="0.25"/>
    <row r="212" s="18" customFormat="1" x14ac:dyDescent="0.25"/>
    <row r="213" s="18" customFormat="1" x14ac:dyDescent="0.25"/>
    <row r="214" s="18" customFormat="1" x14ac:dyDescent="0.25"/>
    <row r="215" s="18" customFormat="1" x14ac:dyDescent="0.25"/>
    <row r="216" s="18" customFormat="1" x14ac:dyDescent="0.25"/>
    <row r="217" s="18" customFormat="1" x14ac:dyDescent="0.25"/>
    <row r="218" s="18" customFormat="1" x14ac:dyDescent="0.25"/>
    <row r="219" s="18" customFormat="1" x14ac:dyDescent="0.25"/>
    <row r="220" s="18" customFormat="1" x14ac:dyDescent="0.25"/>
    <row r="221" s="18" customFormat="1" x14ac:dyDescent="0.25"/>
    <row r="222" s="18" customFormat="1" x14ac:dyDescent="0.25"/>
    <row r="223" s="18" customFormat="1" x14ac:dyDescent="0.25"/>
    <row r="224" s="18" customFormat="1" x14ac:dyDescent="0.25"/>
    <row r="225" s="18" customFormat="1" x14ac:dyDescent="0.25"/>
    <row r="226" s="18" customFormat="1" x14ac:dyDescent="0.25"/>
    <row r="227" s="18" customFormat="1" x14ac:dyDescent="0.25"/>
    <row r="228" s="18" customFormat="1" x14ac:dyDescent="0.25"/>
    <row r="229" s="18" customFormat="1" x14ac:dyDescent="0.25"/>
    <row r="230" s="18" customFormat="1" x14ac:dyDescent="0.25"/>
    <row r="231" s="18" customFormat="1" x14ac:dyDescent="0.25"/>
    <row r="232" s="18" customFormat="1" x14ac:dyDescent="0.25"/>
    <row r="233" s="18" customFormat="1" x14ac:dyDescent="0.25"/>
    <row r="234" s="18" customFormat="1" x14ac:dyDescent="0.25"/>
    <row r="235" s="18" customFormat="1" x14ac:dyDescent="0.25"/>
    <row r="236" s="18" customFormat="1" x14ac:dyDescent="0.25"/>
    <row r="237" s="18" customFormat="1" x14ac:dyDescent="0.25"/>
    <row r="238" s="18" customFormat="1" x14ac:dyDescent="0.25"/>
    <row r="239" s="18" customFormat="1" x14ac:dyDescent="0.25"/>
    <row r="240" s="18" customFormat="1" x14ac:dyDescent="0.25"/>
    <row r="241" s="18" customFormat="1" x14ac:dyDescent="0.25"/>
    <row r="242" s="18" customFormat="1" x14ac:dyDescent="0.25"/>
    <row r="243" s="18" customFormat="1" x14ac:dyDescent="0.25"/>
    <row r="244" s="18" customFormat="1" x14ac:dyDescent="0.25"/>
    <row r="245" s="18" customFormat="1" x14ac:dyDescent="0.25"/>
    <row r="246" s="18" customFormat="1" x14ac:dyDescent="0.25"/>
    <row r="247" s="18" customFormat="1" x14ac:dyDescent="0.25"/>
    <row r="248" s="18" customFormat="1" x14ac:dyDescent="0.25"/>
    <row r="249" s="18" customFormat="1" x14ac:dyDescent="0.25"/>
    <row r="250" s="18" customFormat="1" x14ac:dyDescent="0.25"/>
    <row r="251" s="18" customFormat="1" x14ac:dyDescent="0.25"/>
    <row r="252" s="18" customFormat="1" x14ac:dyDescent="0.25"/>
    <row r="253" s="18" customFormat="1" x14ac:dyDescent="0.25"/>
    <row r="254" s="18" customFormat="1" x14ac:dyDescent="0.25"/>
    <row r="255" s="18" customFormat="1" x14ac:dyDescent="0.25"/>
    <row r="256" s="18" customFormat="1" x14ac:dyDescent="0.25"/>
    <row r="257" s="18" customFormat="1" x14ac:dyDescent="0.25"/>
    <row r="258" s="18" customFormat="1" x14ac:dyDescent="0.25"/>
    <row r="259" s="18" customFormat="1" x14ac:dyDescent="0.25"/>
    <row r="260" s="18" customFormat="1" x14ac:dyDescent="0.25"/>
    <row r="261" s="18" customFormat="1" x14ac:dyDescent="0.25"/>
    <row r="262" s="18" customFormat="1" x14ac:dyDescent="0.25"/>
    <row r="263" s="18" customFormat="1" x14ac:dyDescent="0.25"/>
    <row r="264" s="18" customFormat="1" x14ac:dyDescent="0.25"/>
    <row r="265" s="18" customFormat="1" x14ac:dyDescent="0.25"/>
    <row r="266" s="18" customFormat="1" x14ac:dyDescent="0.25"/>
    <row r="267" s="18" customFormat="1" x14ac:dyDescent="0.25"/>
    <row r="268" s="18" customFormat="1" x14ac:dyDescent="0.25"/>
    <row r="269" s="18" customFormat="1" x14ac:dyDescent="0.25"/>
    <row r="270" s="18" customFormat="1" x14ac:dyDescent="0.25"/>
    <row r="271" s="18" customFormat="1" x14ac:dyDescent="0.25"/>
    <row r="272" s="18" customFormat="1" x14ac:dyDescent="0.25"/>
    <row r="273" s="18" customFormat="1" x14ac:dyDescent="0.25"/>
    <row r="274" s="18" customFormat="1" x14ac:dyDescent="0.25"/>
    <row r="275" s="18" customFormat="1" x14ac:dyDescent="0.25"/>
    <row r="276" s="18" customFormat="1" x14ac:dyDescent="0.25"/>
    <row r="277" s="18" customFormat="1" x14ac:dyDescent="0.25"/>
    <row r="278" s="18" customFormat="1" x14ac:dyDescent="0.25"/>
    <row r="279" s="18" customFormat="1" x14ac:dyDescent="0.25"/>
    <row r="280" s="18" customFormat="1" x14ac:dyDescent="0.25"/>
    <row r="281" s="18" customFormat="1" x14ac:dyDescent="0.25"/>
    <row r="282" s="18" customFormat="1" x14ac:dyDescent="0.25"/>
    <row r="283" s="18" customFormat="1" x14ac:dyDescent="0.25"/>
    <row r="284" s="18" customFormat="1" x14ac:dyDescent="0.25"/>
    <row r="285" s="18" customFormat="1" x14ac:dyDescent="0.25"/>
    <row r="286" s="18" customFormat="1" x14ac:dyDescent="0.25"/>
    <row r="287" s="18" customFormat="1" x14ac:dyDescent="0.25"/>
    <row r="288" s="18" customFormat="1" x14ac:dyDescent="0.25"/>
    <row r="289" s="18" customFormat="1" x14ac:dyDescent="0.25"/>
    <row r="290" s="18" customFormat="1" x14ac:dyDescent="0.25"/>
    <row r="291" s="18" customFormat="1" x14ac:dyDescent="0.25"/>
    <row r="292" s="18" customFormat="1" x14ac:dyDescent="0.25"/>
    <row r="293" s="18" customFormat="1" x14ac:dyDescent="0.25"/>
    <row r="294" s="18" customFormat="1" x14ac:dyDescent="0.25"/>
    <row r="295" s="18" customFormat="1" x14ac:dyDescent="0.25"/>
    <row r="296" s="18" customFormat="1" x14ac:dyDescent="0.25"/>
    <row r="297" s="18" customFormat="1" x14ac:dyDescent="0.25"/>
    <row r="298" s="18" customFormat="1" x14ac:dyDescent="0.25"/>
    <row r="299" s="18" customFormat="1" x14ac:dyDescent="0.25"/>
    <row r="300" s="18" customFormat="1" x14ac:dyDescent="0.25"/>
    <row r="301" s="18" customFormat="1" x14ac:dyDescent="0.25"/>
    <row r="302" s="18" customFormat="1" x14ac:dyDescent="0.25"/>
    <row r="303" s="18" customFormat="1" x14ac:dyDescent="0.25"/>
    <row r="304" s="18" customFormat="1" x14ac:dyDescent="0.25"/>
    <row r="305" s="18" customFormat="1" x14ac:dyDescent="0.25"/>
    <row r="306" s="18" customFormat="1" x14ac:dyDescent="0.25"/>
    <row r="307" s="18" customFormat="1" x14ac:dyDescent="0.25"/>
    <row r="308" s="18" customFormat="1" x14ac:dyDescent="0.25"/>
    <row r="309" s="18" customFormat="1" x14ac:dyDescent="0.25"/>
    <row r="310" s="18" customFormat="1" x14ac:dyDescent="0.25"/>
    <row r="311" s="18" customFormat="1" x14ac:dyDescent="0.25"/>
    <row r="312" s="18" customFormat="1" x14ac:dyDescent="0.25"/>
    <row r="313" s="18" customFormat="1" x14ac:dyDescent="0.25"/>
    <row r="314" s="18" customFormat="1" x14ac:dyDescent="0.25"/>
    <row r="315" s="18" customFormat="1" x14ac:dyDescent="0.25"/>
    <row r="316" s="18" customFormat="1" x14ac:dyDescent="0.25"/>
    <row r="317" s="18" customFormat="1" x14ac:dyDescent="0.25"/>
    <row r="318" s="18" customFormat="1" x14ac:dyDescent="0.25"/>
    <row r="319" s="18" customFormat="1" x14ac:dyDescent="0.25"/>
    <row r="320" s="18" customFormat="1" x14ac:dyDescent="0.25"/>
    <row r="321" s="18" customFormat="1" x14ac:dyDescent="0.25"/>
    <row r="322" s="18" customFormat="1" x14ac:dyDescent="0.25"/>
    <row r="323" s="18" customFormat="1" x14ac:dyDescent="0.25"/>
    <row r="324" s="18" customFormat="1" x14ac:dyDescent="0.25"/>
    <row r="325" s="18" customFormat="1" x14ac:dyDescent="0.25"/>
    <row r="326" s="18" customFormat="1" x14ac:dyDescent="0.25"/>
    <row r="327" s="18" customFormat="1" x14ac:dyDescent="0.25"/>
    <row r="328" s="18" customFormat="1" x14ac:dyDescent="0.25"/>
    <row r="329" s="18" customFormat="1" x14ac:dyDescent="0.25"/>
    <row r="330" s="18" customFormat="1" x14ac:dyDescent="0.25"/>
    <row r="331" s="18" customFormat="1" x14ac:dyDescent="0.25"/>
    <row r="332" s="18" customFormat="1" x14ac:dyDescent="0.25"/>
    <row r="333" s="18" customFormat="1" x14ac:dyDescent="0.25"/>
    <row r="334" s="18" customFormat="1" x14ac:dyDescent="0.25"/>
    <row r="335" s="18" customFormat="1" x14ac:dyDescent="0.25"/>
    <row r="336" s="18" customFormat="1" x14ac:dyDescent="0.25"/>
    <row r="337" s="18" customFormat="1" x14ac:dyDescent="0.25"/>
    <row r="338" s="18" customFormat="1" x14ac:dyDescent="0.25"/>
    <row r="339" s="18" customFormat="1" x14ac:dyDescent="0.25"/>
    <row r="340" s="18" customFormat="1" x14ac:dyDescent="0.25"/>
    <row r="341" s="18" customFormat="1" x14ac:dyDescent="0.25"/>
    <row r="342" s="18" customFormat="1" x14ac:dyDescent="0.25"/>
    <row r="343" s="18" customFormat="1" x14ac:dyDescent="0.25"/>
    <row r="344" s="18" customFormat="1" x14ac:dyDescent="0.25"/>
    <row r="345" s="18" customFormat="1" x14ac:dyDescent="0.25"/>
    <row r="346" s="18" customFormat="1" x14ac:dyDescent="0.25"/>
    <row r="347" s="18" customFormat="1" x14ac:dyDescent="0.25"/>
    <row r="348" s="18" customFormat="1" x14ac:dyDescent="0.25"/>
    <row r="349" s="18" customFormat="1" x14ac:dyDescent="0.25"/>
    <row r="350" s="18" customFormat="1" x14ac:dyDescent="0.25"/>
    <row r="351" s="18" customFormat="1" x14ac:dyDescent="0.25"/>
    <row r="352" s="18" customFormat="1" x14ac:dyDescent="0.25"/>
    <row r="353" s="18" customFormat="1" x14ac:dyDescent="0.25"/>
    <row r="354" s="18" customFormat="1" x14ac:dyDescent="0.25"/>
    <row r="355" s="18" customFormat="1" x14ac:dyDescent="0.25"/>
    <row r="356" s="18" customFormat="1" x14ac:dyDescent="0.25"/>
    <row r="357" s="18" customFormat="1" x14ac:dyDescent="0.25"/>
    <row r="358" s="18" customFormat="1" x14ac:dyDescent="0.25"/>
    <row r="359" s="18" customFormat="1" x14ac:dyDescent="0.25"/>
    <row r="360" s="18" customFormat="1" x14ac:dyDescent="0.25"/>
    <row r="361" s="18" customFormat="1" x14ac:dyDescent="0.25"/>
    <row r="362" s="18" customFormat="1" x14ac:dyDescent="0.25"/>
    <row r="363" s="18" customFormat="1" x14ac:dyDescent="0.25"/>
    <row r="364" s="18" customFormat="1" x14ac:dyDescent="0.25"/>
    <row r="365" s="18" customFormat="1" x14ac:dyDescent="0.25"/>
    <row r="366" s="18" customFormat="1" x14ac:dyDescent="0.25"/>
    <row r="367" s="18" customFormat="1" x14ac:dyDescent="0.25"/>
    <row r="368" s="18" customFormat="1" x14ac:dyDescent="0.25"/>
    <row r="369" s="18" customFormat="1" x14ac:dyDescent="0.25"/>
    <row r="370" s="18" customFormat="1" x14ac:dyDescent="0.25"/>
    <row r="371" s="18" customFormat="1" x14ac:dyDescent="0.25"/>
    <row r="372" s="18" customFormat="1" x14ac:dyDescent="0.25"/>
    <row r="373" s="18" customFormat="1" x14ac:dyDescent="0.25"/>
    <row r="374" s="18" customFormat="1" x14ac:dyDescent="0.25"/>
    <row r="375" s="18" customFormat="1" x14ac:dyDescent="0.25"/>
    <row r="376" s="18" customFormat="1" x14ac:dyDescent="0.25"/>
    <row r="377" s="18" customFormat="1" x14ac:dyDescent="0.25"/>
    <row r="378" s="18" customFormat="1" x14ac:dyDescent="0.25"/>
    <row r="379" s="18" customFormat="1" x14ac:dyDescent="0.25"/>
    <row r="380" s="18" customFormat="1" x14ac:dyDescent="0.25"/>
    <row r="381" s="18" customFormat="1" x14ac:dyDescent="0.25"/>
    <row r="382" s="18" customFormat="1" x14ac:dyDescent="0.25"/>
    <row r="383" s="18" customFormat="1" x14ac:dyDescent="0.25"/>
    <row r="384" s="18" customFormat="1" x14ac:dyDescent="0.25"/>
    <row r="385" s="18" customFormat="1" x14ac:dyDescent="0.25"/>
    <row r="386" s="18" customFormat="1" x14ac:dyDescent="0.25"/>
    <row r="387" s="18" customFormat="1" x14ac:dyDescent="0.25"/>
    <row r="388" s="18" customFormat="1" x14ac:dyDescent="0.25"/>
    <row r="389" s="18" customFormat="1" x14ac:dyDescent="0.25"/>
    <row r="390" s="18" customFormat="1" x14ac:dyDescent="0.25"/>
    <row r="391" s="18" customFormat="1" x14ac:dyDescent="0.25"/>
    <row r="392" s="18" customFormat="1" x14ac:dyDescent="0.25"/>
    <row r="393" s="18" customFormat="1" x14ac:dyDescent="0.25"/>
    <row r="394" s="18" customFormat="1" x14ac:dyDescent="0.25"/>
    <row r="395" s="18" customFormat="1" x14ac:dyDescent="0.25"/>
    <row r="396" s="18" customFormat="1" x14ac:dyDescent="0.25"/>
    <row r="397" s="18" customFormat="1" x14ac:dyDescent="0.25"/>
    <row r="398" s="18" customFormat="1" x14ac:dyDescent="0.25"/>
    <row r="399" s="18" customFormat="1" x14ac:dyDescent="0.25"/>
    <row r="400" s="18" customFormat="1" x14ac:dyDescent="0.25"/>
    <row r="401" s="18" customFormat="1" x14ac:dyDescent="0.25"/>
    <row r="402" s="18" customFormat="1" x14ac:dyDescent="0.25"/>
    <row r="403" s="18" customFormat="1" x14ac:dyDescent="0.25"/>
    <row r="404" s="18" customFormat="1" x14ac:dyDescent="0.25"/>
    <row r="405" s="18" customFormat="1" x14ac:dyDescent="0.25"/>
    <row r="406" s="18" customFormat="1" x14ac:dyDescent="0.25"/>
    <row r="407" s="18" customFormat="1" x14ac:dyDescent="0.25"/>
    <row r="408" s="18" customFormat="1" x14ac:dyDescent="0.25"/>
    <row r="409" s="18" customFormat="1" x14ac:dyDescent="0.25"/>
    <row r="410" s="18" customFormat="1" x14ac:dyDescent="0.25"/>
    <row r="411" s="18" customFormat="1" x14ac:dyDescent="0.25"/>
    <row r="412" s="18" customFormat="1" x14ac:dyDescent="0.25"/>
    <row r="413" s="18" customFormat="1" x14ac:dyDescent="0.25"/>
    <row r="414" s="18" customFormat="1" x14ac:dyDescent="0.25"/>
    <row r="415" s="18" customFormat="1" x14ac:dyDescent="0.25"/>
    <row r="416" s="18" customFormat="1" x14ac:dyDescent="0.25"/>
    <row r="417" s="18" customFormat="1" x14ac:dyDescent="0.25"/>
    <row r="418" s="18" customFormat="1" x14ac:dyDescent="0.25"/>
    <row r="419" s="18" customFormat="1" x14ac:dyDescent="0.25"/>
    <row r="420" s="18" customFormat="1" x14ac:dyDescent="0.25"/>
    <row r="421" s="18" customFormat="1" x14ac:dyDescent="0.25"/>
    <row r="422" s="18" customFormat="1" x14ac:dyDescent="0.25"/>
    <row r="423" s="18" customFormat="1" x14ac:dyDescent="0.25"/>
    <row r="424" s="18" customFormat="1" x14ac:dyDescent="0.25"/>
    <row r="425" s="18" customFormat="1" x14ac:dyDescent="0.25"/>
    <row r="426" s="18" customFormat="1" x14ac:dyDescent="0.25"/>
    <row r="427" s="18" customFormat="1" x14ac:dyDescent="0.25"/>
    <row r="428" s="18" customFormat="1" x14ac:dyDescent="0.25"/>
    <row r="429" s="18" customFormat="1" x14ac:dyDescent="0.25"/>
    <row r="430" s="18" customFormat="1" x14ac:dyDescent="0.25"/>
    <row r="431" s="18" customFormat="1" x14ac:dyDescent="0.25"/>
    <row r="432" s="18" customFormat="1" x14ac:dyDescent="0.25"/>
  </sheetData>
  <mergeCells count="11">
    <mergeCell ref="B2:F5"/>
    <mergeCell ref="B13:C13"/>
    <mergeCell ref="E13:F13"/>
    <mergeCell ref="B20:C20"/>
    <mergeCell ref="E18:F18"/>
    <mergeCell ref="E6:F6"/>
    <mergeCell ref="B6:C6"/>
    <mergeCell ref="B7:C7"/>
    <mergeCell ref="E7:F7"/>
    <mergeCell ref="B10:C10"/>
    <mergeCell ref="E10:F10"/>
  </mergeCells>
  <pageMargins left="0.7" right="0.7" top="0.75" bottom="0.75" header="0.3" footer="0.3"/>
  <pageSetup orientation="portrait" horizontalDpi="4294967293" verticalDpi="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B42"/>
  <sheetViews>
    <sheetView topLeftCell="H1" zoomScale="70" zoomScaleNormal="70" workbookViewId="0">
      <selection activeCell="X37" sqref="X37"/>
    </sheetView>
  </sheetViews>
  <sheetFormatPr defaultRowHeight="15" x14ac:dyDescent="0.25"/>
  <cols>
    <col min="1" max="1" width="16.5703125" bestFit="1" customWidth="1"/>
    <col min="14" max="14" width="24.85546875" bestFit="1" customWidth="1"/>
    <col min="15" max="15" width="10" bestFit="1" customWidth="1"/>
    <col min="16" max="16" width="41.140625" bestFit="1" customWidth="1"/>
    <col min="17" max="17" width="10.7109375" bestFit="1" customWidth="1"/>
    <col min="22" max="22" width="9.140625" customWidth="1"/>
    <col min="23" max="23" width="36.28515625" bestFit="1" customWidth="1"/>
    <col min="24" max="24" width="14.85546875" bestFit="1" customWidth="1"/>
    <col min="28" max="28" width="11.5703125" bestFit="1" customWidth="1"/>
  </cols>
  <sheetData>
    <row r="1" spans="1:28" x14ac:dyDescent="0.25">
      <c r="A1" t="s">
        <v>19</v>
      </c>
    </row>
    <row r="2" spans="1:28" x14ac:dyDescent="0.25">
      <c r="A2" s="51" t="s">
        <v>2</v>
      </c>
      <c r="B2" s="1"/>
      <c r="C2" s="1"/>
      <c r="D2" s="1"/>
      <c r="E2" s="1" t="s">
        <v>7</v>
      </c>
      <c r="F2" s="1" t="s">
        <v>9</v>
      </c>
      <c r="G2" s="1" t="s">
        <v>9</v>
      </c>
      <c r="H2" s="51" t="s">
        <v>12</v>
      </c>
      <c r="I2" s="1"/>
    </row>
    <row r="3" spans="1:28" ht="30" x14ac:dyDescent="0.25">
      <c r="A3" s="51"/>
      <c r="B3" s="1"/>
      <c r="C3" s="1" t="s">
        <v>4</v>
      </c>
      <c r="D3" s="1" t="s">
        <v>7</v>
      </c>
      <c r="E3" s="1" t="s">
        <v>8</v>
      </c>
      <c r="F3" s="1" t="s">
        <v>10</v>
      </c>
      <c r="G3" s="1" t="s">
        <v>10</v>
      </c>
      <c r="H3" s="51"/>
      <c r="I3" s="1" t="s">
        <v>12</v>
      </c>
      <c r="W3" s="13" t="s">
        <v>2</v>
      </c>
      <c r="X3">
        <v>2015</v>
      </c>
      <c r="Y3">
        <v>2016</v>
      </c>
      <c r="Z3">
        <v>2017</v>
      </c>
      <c r="AA3">
        <v>2018</v>
      </c>
      <c r="AB3">
        <v>2019</v>
      </c>
    </row>
    <row r="4" spans="1:28" x14ac:dyDescent="0.25">
      <c r="A4" s="51"/>
      <c r="B4" s="1" t="s">
        <v>0</v>
      </c>
      <c r="C4" s="1" t="s">
        <v>5</v>
      </c>
      <c r="D4" s="1" t="s">
        <v>8</v>
      </c>
      <c r="E4" s="1" t="s">
        <v>5</v>
      </c>
      <c r="F4" s="1" t="s">
        <v>11</v>
      </c>
      <c r="G4" s="1" t="s">
        <v>5</v>
      </c>
      <c r="H4" s="51"/>
      <c r="I4" s="1" t="s">
        <v>5</v>
      </c>
      <c r="W4" s="13" t="s">
        <v>42</v>
      </c>
      <c r="X4">
        <v>3409</v>
      </c>
      <c r="Y4">
        <v>3536</v>
      </c>
      <c r="Z4">
        <v>3282</v>
      </c>
      <c r="AA4">
        <v>3670</v>
      </c>
      <c r="AB4">
        <v>3702</v>
      </c>
    </row>
    <row r="5" spans="1:28" x14ac:dyDescent="0.25">
      <c r="A5" s="51"/>
      <c r="B5" s="1" t="s">
        <v>3</v>
      </c>
      <c r="C5" s="1" t="s">
        <v>6</v>
      </c>
      <c r="D5" s="1" t="s">
        <v>3</v>
      </c>
      <c r="E5" s="1" t="s">
        <v>6</v>
      </c>
      <c r="F5" s="1" t="s">
        <v>3</v>
      </c>
      <c r="G5" s="1" t="s">
        <v>6</v>
      </c>
      <c r="H5" s="51"/>
      <c r="I5" s="1" t="s">
        <v>6</v>
      </c>
      <c r="W5" s="13" t="s">
        <v>43</v>
      </c>
      <c r="X5" s="14">
        <f>AVERAGE(X4:AB4)</f>
        <v>3519.8</v>
      </c>
    </row>
    <row r="6" spans="1:28" x14ac:dyDescent="0.25">
      <c r="A6" s="2">
        <v>2002</v>
      </c>
      <c r="B6" s="2">
        <v>26</v>
      </c>
      <c r="C6" s="2" t="s">
        <v>13</v>
      </c>
      <c r="D6" s="2">
        <v>1095</v>
      </c>
      <c r="E6" s="2" t="s">
        <v>13</v>
      </c>
      <c r="F6" s="2">
        <v>3760</v>
      </c>
      <c r="G6" s="2" t="s">
        <v>13</v>
      </c>
      <c r="H6" s="2">
        <v>4881</v>
      </c>
      <c r="I6" s="2" t="s">
        <v>13</v>
      </c>
      <c r="W6" s="11" t="s">
        <v>41</v>
      </c>
      <c r="X6" s="12">
        <v>377459.71563981043</v>
      </c>
    </row>
    <row r="7" spans="1:28" x14ac:dyDescent="0.25">
      <c r="A7" s="2">
        <v>2003</v>
      </c>
      <c r="B7" s="2">
        <v>21</v>
      </c>
      <c r="C7" s="3">
        <v>-19.23</v>
      </c>
      <c r="D7" s="2">
        <v>1014</v>
      </c>
      <c r="E7" s="3">
        <v>-7.4</v>
      </c>
      <c r="F7" s="2">
        <v>3457</v>
      </c>
      <c r="G7" s="3">
        <v>-8.06</v>
      </c>
      <c r="H7" s="2">
        <v>4492</v>
      </c>
      <c r="I7" s="3">
        <v>-7.97</v>
      </c>
    </row>
    <row r="8" spans="1:28" x14ac:dyDescent="0.25">
      <c r="A8" s="2">
        <v>2004</v>
      </c>
      <c r="B8" s="2">
        <v>22</v>
      </c>
      <c r="C8" s="2">
        <v>4.76</v>
      </c>
      <c r="D8" s="2">
        <v>786</v>
      </c>
      <c r="E8" s="3">
        <v>-22.49</v>
      </c>
      <c r="F8" s="2">
        <v>2676</v>
      </c>
      <c r="G8" s="3">
        <v>-22.59</v>
      </c>
      <c r="H8" s="2">
        <v>3484</v>
      </c>
      <c r="I8" s="3">
        <v>-22.44</v>
      </c>
    </row>
    <row r="9" spans="1:28" x14ac:dyDescent="0.25">
      <c r="A9" s="2">
        <v>2005</v>
      </c>
      <c r="B9" s="2">
        <v>15</v>
      </c>
      <c r="C9" s="3">
        <v>-31.82</v>
      </c>
      <c r="D9" s="2">
        <v>680</v>
      </c>
      <c r="E9" s="3">
        <v>-13.49</v>
      </c>
      <c r="F9" s="2">
        <v>2467</v>
      </c>
      <c r="G9" s="3">
        <v>-7.81</v>
      </c>
      <c r="H9" s="2">
        <v>3162</v>
      </c>
      <c r="I9" s="3">
        <v>-9.24</v>
      </c>
    </row>
    <row r="10" spans="1:28" x14ac:dyDescent="0.25">
      <c r="A10" s="2">
        <v>2006</v>
      </c>
      <c r="B10" s="2">
        <v>16</v>
      </c>
      <c r="C10" s="2">
        <v>6.67</v>
      </c>
      <c r="D10" s="2">
        <v>781</v>
      </c>
      <c r="E10" s="2">
        <v>14.85</v>
      </c>
      <c r="F10" s="2">
        <v>2636</v>
      </c>
      <c r="G10" s="2">
        <v>6.85</v>
      </c>
      <c r="H10" s="2">
        <v>3433</v>
      </c>
      <c r="I10" s="2">
        <v>8.57</v>
      </c>
    </row>
    <row r="11" spans="1:28" x14ac:dyDescent="0.25">
      <c r="A11" s="2">
        <v>2007</v>
      </c>
      <c r="B11" s="2">
        <v>4</v>
      </c>
      <c r="C11" s="3">
        <v>-75</v>
      </c>
      <c r="D11" s="2">
        <v>545</v>
      </c>
      <c r="E11" s="3">
        <v>-30.22</v>
      </c>
      <c r="F11" s="2">
        <v>1923</v>
      </c>
      <c r="G11" s="3">
        <v>-27.05</v>
      </c>
      <c r="H11" s="2">
        <v>2472</v>
      </c>
      <c r="I11" s="3">
        <v>-27.99</v>
      </c>
      <c r="K11" t="s">
        <v>54</v>
      </c>
    </row>
    <row r="12" spans="1:28" x14ac:dyDescent="0.25">
      <c r="A12" s="2">
        <v>2008</v>
      </c>
      <c r="B12" s="2">
        <v>10</v>
      </c>
      <c r="C12" s="2">
        <v>150</v>
      </c>
      <c r="D12" s="2">
        <v>401</v>
      </c>
      <c r="E12" s="3">
        <v>-26.42</v>
      </c>
      <c r="F12" s="2">
        <v>1322</v>
      </c>
      <c r="G12" s="3">
        <v>-31.25</v>
      </c>
      <c r="H12" s="2">
        <v>1733</v>
      </c>
      <c r="I12" s="3">
        <v>-29.89</v>
      </c>
    </row>
    <row r="13" spans="1:28" x14ac:dyDescent="0.25">
      <c r="A13" s="2">
        <v>2009</v>
      </c>
      <c r="B13" s="2">
        <v>11</v>
      </c>
      <c r="C13" s="2">
        <v>10</v>
      </c>
      <c r="D13" s="2">
        <v>473</v>
      </c>
      <c r="E13" s="2">
        <v>17.96</v>
      </c>
      <c r="F13" s="2">
        <v>1710</v>
      </c>
      <c r="G13" s="2">
        <v>29.35</v>
      </c>
      <c r="H13" s="2">
        <v>2194</v>
      </c>
      <c r="I13" s="2">
        <v>26.6</v>
      </c>
    </row>
    <row r="14" spans="1:28" x14ac:dyDescent="0.25">
      <c r="A14" s="2">
        <v>2010</v>
      </c>
      <c r="B14" s="2">
        <v>14</v>
      </c>
      <c r="C14" s="2">
        <v>27.27</v>
      </c>
      <c r="D14" s="2">
        <v>646</v>
      </c>
      <c r="E14" s="2">
        <v>36.58</v>
      </c>
      <c r="F14" s="2">
        <v>1939</v>
      </c>
      <c r="G14" s="2">
        <v>13.39</v>
      </c>
      <c r="H14" s="2">
        <v>2599</v>
      </c>
      <c r="I14" s="2">
        <v>18.46</v>
      </c>
    </row>
    <row r="15" spans="1:28" x14ac:dyDescent="0.25">
      <c r="A15" s="2">
        <v>2011</v>
      </c>
      <c r="B15" s="2">
        <v>10</v>
      </c>
      <c r="C15" s="3">
        <v>-28.57</v>
      </c>
      <c r="D15" s="2">
        <v>488</v>
      </c>
      <c r="E15" s="3">
        <v>-24.46</v>
      </c>
      <c r="F15" s="2">
        <v>1459</v>
      </c>
      <c r="G15" s="3">
        <v>-24.76</v>
      </c>
      <c r="H15" s="2">
        <v>1957</v>
      </c>
      <c r="I15" s="3">
        <v>-24.7</v>
      </c>
    </row>
    <row r="16" spans="1:28" x14ac:dyDescent="0.25">
      <c r="A16" s="2">
        <v>2012</v>
      </c>
      <c r="B16" s="2">
        <v>8</v>
      </c>
      <c r="C16" s="3">
        <v>-20</v>
      </c>
      <c r="D16" s="2">
        <v>480</v>
      </c>
      <c r="E16" s="3">
        <v>-1.64</v>
      </c>
      <c r="F16" s="2">
        <v>1539</v>
      </c>
      <c r="G16" s="2">
        <v>5.48</v>
      </c>
      <c r="H16" s="2">
        <v>2027</v>
      </c>
      <c r="I16" s="2">
        <v>3.58</v>
      </c>
    </row>
    <row r="17" spans="1:28" x14ac:dyDescent="0.25">
      <c r="A17" s="2">
        <v>2013</v>
      </c>
      <c r="B17" s="2">
        <v>7</v>
      </c>
      <c r="C17" s="3">
        <v>-12.5</v>
      </c>
      <c r="D17" s="2">
        <v>408</v>
      </c>
      <c r="E17" s="3">
        <v>-15</v>
      </c>
      <c r="F17" s="2">
        <v>1605</v>
      </c>
      <c r="G17" s="2">
        <v>4.29</v>
      </c>
      <c r="H17" s="2">
        <v>2020</v>
      </c>
      <c r="I17" s="3">
        <v>-0.35</v>
      </c>
    </row>
    <row r="18" spans="1:28" x14ac:dyDescent="0.25">
      <c r="A18" s="2">
        <v>2014</v>
      </c>
      <c r="B18" s="2">
        <v>8</v>
      </c>
      <c r="C18" s="2">
        <v>14.29</v>
      </c>
      <c r="D18" s="2">
        <v>369</v>
      </c>
      <c r="E18" s="3">
        <v>-9.56</v>
      </c>
      <c r="F18" s="2">
        <v>1226</v>
      </c>
      <c r="G18" s="3">
        <v>-23.61</v>
      </c>
      <c r="H18" s="2">
        <v>1603</v>
      </c>
      <c r="I18" s="3">
        <v>-20.64</v>
      </c>
    </row>
    <row r="19" spans="1:28" x14ac:dyDescent="0.25">
      <c r="A19" s="2">
        <v>2015</v>
      </c>
      <c r="B19" s="2">
        <v>8</v>
      </c>
      <c r="C19" s="2">
        <v>0</v>
      </c>
      <c r="D19" s="2">
        <v>498</v>
      </c>
      <c r="E19" s="2">
        <v>34.96</v>
      </c>
      <c r="F19" s="2">
        <v>1820</v>
      </c>
      <c r="G19" s="2">
        <v>48.45</v>
      </c>
      <c r="H19" s="2">
        <v>2326</v>
      </c>
      <c r="I19" s="2">
        <v>45.1</v>
      </c>
    </row>
    <row r="20" spans="1:28" x14ac:dyDescent="0.25">
      <c r="A20" s="2">
        <v>2016</v>
      </c>
      <c r="B20" s="2">
        <v>9</v>
      </c>
      <c r="C20" s="2">
        <v>12.5</v>
      </c>
      <c r="D20" s="2">
        <v>560</v>
      </c>
      <c r="E20" s="2">
        <v>12.45</v>
      </c>
      <c r="F20" s="2">
        <v>1984</v>
      </c>
      <c r="G20" s="2">
        <v>9.01</v>
      </c>
      <c r="H20" s="2">
        <v>2553</v>
      </c>
      <c r="I20" s="2">
        <v>9.76</v>
      </c>
    </row>
    <row r="21" spans="1:28" x14ac:dyDescent="0.25">
      <c r="A21" s="2">
        <v>2017</v>
      </c>
      <c r="B21" s="2">
        <v>13</v>
      </c>
      <c r="C21" s="2">
        <v>44.44</v>
      </c>
      <c r="D21" s="2">
        <v>456</v>
      </c>
      <c r="E21" s="3">
        <v>-18.57</v>
      </c>
      <c r="F21" s="2">
        <v>1701</v>
      </c>
      <c r="G21" s="3">
        <v>-14.26</v>
      </c>
      <c r="H21" s="2">
        <v>2170</v>
      </c>
      <c r="I21" s="3">
        <v>-15</v>
      </c>
    </row>
    <row r="22" spans="1:28" x14ac:dyDescent="0.25">
      <c r="A22" s="2">
        <v>2018</v>
      </c>
      <c r="B22" s="2">
        <v>11</v>
      </c>
      <c r="C22" s="3">
        <v>-15.38</v>
      </c>
      <c r="D22" s="2">
        <v>537</v>
      </c>
      <c r="E22" s="2">
        <v>17.760000000000002</v>
      </c>
      <c r="F22" s="2">
        <v>1928</v>
      </c>
      <c r="G22" s="2">
        <v>13.35</v>
      </c>
      <c r="H22" s="2">
        <v>2476</v>
      </c>
      <c r="I22" s="2">
        <v>14.1</v>
      </c>
    </row>
    <row r="25" spans="1:28" ht="31.5" x14ac:dyDescent="0.5">
      <c r="A25" s="7" t="s">
        <v>1</v>
      </c>
      <c r="B25" s="52" t="s">
        <v>0</v>
      </c>
      <c r="C25" s="52"/>
      <c r="D25" s="53" t="s">
        <v>14</v>
      </c>
      <c r="E25" s="53"/>
      <c r="F25" s="54" t="s">
        <v>15</v>
      </c>
      <c r="G25" s="54"/>
      <c r="H25" s="4" t="s">
        <v>16</v>
      </c>
      <c r="I25" s="4"/>
      <c r="J25" s="4"/>
      <c r="N25" s="6" t="s">
        <v>18</v>
      </c>
    </row>
    <row r="26" spans="1:28" x14ac:dyDescent="0.25">
      <c r="A26" s="4" t="s">
        <v>17</v>
      </c>
      <c r="B26" s="4">
        <f>SUM(B16:B21)</f>
        <v>53</v>
      </c>
      <c r="C26" s="5">
        <f>B26/$H26</f>
        <v>4.1735569729899995E-3</v>
      </c>
      <c r="D26" s="4">
        <f>SUM(D16:D21)</f>
        <v>2771</v>
      </c>
      <c r="E26" s="5">
        <f>D26/$H26</f>
        <v>0.2182061579651941</v>
      </c>
      <c r="F26" s="4">
        <f>SUM(F16:F21)</f>
        <v>9875</v>
      </c>
      <c r="G26" s="5">
        <f>F26/$H26</f>
        <v>0.77762028506181591</v>
      </c>
      <c r="H26" s="4">
        <f>SUM(H16:H21)</f>
        <v>12699</v>
      </c>
      <c r="I26" s="4"/>
      <c r="J26" s="4"/>
      <c r="N26" s="10" t="s">
        <v>22</v>
      </c>
      <c r="O26" s="9">
        <f>(0.85+35.9)/100</f>
        <v>0.36749999999999999</v>
      </c>
      <c r="P26" s="10" t="s">
        <v>23</v>
      </c>
      <c r="Q26" s="9">
        <f>(11+12)/117</f>
        <v>0.19658119658119658</v>
      </c>
    </row>
    <row r="27" spans="1:28" x14ac:dyDescent="0.25">
      <c r="B27" s="4"/>
      <c r="C27" s="4"/>
      <c r="D27" s="4"/>
      <c r="E27" s="4"/>
      <c r="F27" s="4"/>
      <c r="G27" s="4"/>
      <c r="H27" s="4"/>
      <c r="I27" s="4"/>
      <c r="J27" s="4"/>
    </row>
    <row r="28" spans="1:28" x14ac:dyDescent="0.25">
      <c r="A28" s="4" t="s">
        <v>20</v>
      </c>
      <c r="B28" s="4">
        <v>1</v>
      </c>
      <c r="C28" s="4"/>
      <c r="D28" s="4"/>
      <c r="E28" s="4"/>
      <c r="F28" s="4"/>
      <c r="G28" s="4"/>
      <c r="H28" s="4">
        <v>144</v>
      </c>
      <c r="I28" s="4"/>
      <c r="J28" s="4"/>
      <c r="W28" s="15" t="s">
        <v>47</v>
      </c>
      <c r="X28" s="16">
        <v>0</v>
      </c>
    </row>
    <row r="29" spans="1:28" x14ac:dyDescent="0.25">
      <c r="A29" s="4" t="s">
        <v>21</v>
      </c>
      <c r="B29" s="8">
        <f>H28/H26</f>
        <v>1.1339475549255847E-2</v>
      </c>
      <c r="C29" s="4"/>
      <c r="D29" s="4"/>
      <c r="E29" s="4"/>
      <c r="F29" s="4"/>
      <c r="G29" s="4"/>
      <c r="H29" s="4"/>
      <c r="I29" s="4"/>
      <c r="J29" s="4"/>
      <c r="W29" s="15" t="s">
        <v>48</v>
      </c>
      <c r="X29" s="16">
        <v>0</v>
      </c>
    </row>
    <row r="30" spans="1:28" x14ac:dyDescent="0.25">
      <c r="A30" s="4"/>
      <c r="B30" s="4"/>
      <c r="C30" s="4"/>
      <c r="D30" s="4"/>
      <c r="E30" s="4"/>
      <c r="F30" s="4"/>
      <c r="G30" s="4"/>
      <c r="H30" s="4"/>
      <c r="I30" s="4"/>
      <c r="J30" s="4"/>
      <c r="W30" s="15" t="s">
        <v>49</v>
      </c>
      <c r="X30" s="16">
        <v>250000</v>
      </c>
    </row>
    <row r="31" spans="1:28" x14ac:dyDescent="0.25">
      <c r="A31" s="4"/>
      <c r="B31" s="4"/>
      <c r="C31" s="4"/>
      <c r="D31" s="4"/>
      <c r="E31" s="4"/>
      <c r="F31" s="4"/>
      <c r="G31" s="4"/>
      <c r="H31" s="4"/>
      <c r="I31" s="4"/>
      <c r="J31" s="4"/>
      <c r="W31" s="15" t="s">
        <v>50</v>
      </c>
      <c r="X31" s="16">
        <v>40000</v>
      </c>
    </row>
    <row r="32" spans="1:28" x14ac:dyDescent="0.25">
      <c r="A32" s="4"/>
      <c r="B32" s="4"/>
      <c r="C32" s="4"/>
      <c r="D32" s="4"/>
      <c r="E32" s="4"/>
      <c r="F32" s="4"/>
      <c r="G32" s="4"/>
      <c r="H32" s="4"/>
      <c r="I32" s="4"/>
      <c r="J32" s="4"/>
      <c r="W32" s="15" t="s">
        <v>51</v>
      </c>
      <c r="X32" s="16">
        <v>5000</v>
      </c>
      <c r="AB32" s="19">
        <f>X6*'ATMA Benefit-Cost Analysis Tool'!F12</f>
        <v>148087.43791188431</v>
      </c>
    </row>
    <row r="33" spans="1:27" x14ac:dyDescent="0.25">
      <c r="A33" s="4"/>
      <c r="B33" s="4"/>
      <c r="C33" s="4"/>
      <c r="D33" s="4"/>
      <c r="E33" s="4"/>
      <c r="F33" s="4"/>
      <c r="G33" s="4"/>
      <c r="H33" s="4"/>
      <c r="I33" s="4"/>
      <c r="J33" s="4"/>
      <c r="W33" s="15" t="s">
        <v>52</v>
      </c>
      <c r="X33" s="17">
        <f>(1-(1+0.07)^(-5))/0.07</f>
        <v>4.1001974359475941</v>
      </c>
    </row>
    <row r="34" spans="1:27" x14ac:dyDescent="0.25">
      <c r="A34" s="4"/>
      <c r="B34" s="4"/>
      <c r="C34" s="4"/>
      <c r="D34" s="4"/>
      <c r="E34" s="4"/>
      <c r="F34" s="4"/>
      <c r="G34" s="4"/>
      <c r="H34" s="4"/>
      <c r="I34" s="4"/>
      <c r="J34" s="4"/>
      <c r="X34" s="16"/>
    </row>
    <row r="35" spans="1:27" x14ac:dyDescent="0.25">
      <c r="A35" s="4"/>
      <c r="B35" s="4"/>
      <c r="C35" s="4"/>
      <c r="D35" s="4"/>
      <c r="E35" s="4"/>
      <c r="F35" s="4"/>
      <c r="G35" s="4"/>
      <c r="H35" s="4"/>
      <c r="I35" s="4"/>
      <c r="J35" s="4"/>
      <c r="X35" s="16"/>
      <c r="AA35" t="s">
        <v>44</v>
      </c>
    </row>
    <row r="36" spans="1:27" x14ac:dyDescent="0.25">
      <c r="W36" t="s">
        <v>45</v>
      </c>
      <c r="X36" s="16">
        <f>X5*B29*Q26*X6/AA36</f>
        <v>29615.804770582406</v>
      </c>
      <c r="AA36">
        <v>100</v>
      </c>
    </row>
    <row r="37" spans="1:27" x14ac:dyDescent="0.25">
      <c r="W37" s="13" t="s">
        <v>53</v>
      </c>
      <c r="X37" s="16">
        <f>X36*X33</f>
        <v>121430.64678386651</v>
      </c>
    </row>
    <row r="38" spans="1:27" x14ac:dyDescent="0.25">
      <c r="W38" s="13" t="s">
        <v>46</v>
      </c>
      <c r="X38" s="16">
        <f>X31+X30+X29+X28+X32*X33</f>
        <v>310500.98717973795</v>
      </c>
    </row>
    <row r="39" spans="1:27" x14ac:dyDescent="0.25">
      <c r="X39" s="16"/>
    </row>
    <row r="40" spans="1:27" x14ac:dyDescent="0.25">
      <c r="X40" s="16"/>
    </row>
    <row r="41" spans="1:27" x14ac:dyDescent="0.25">
      <c r="X41" s="16"/>
    </row>
    <row r="42" spans="1:27" x14ac:dyDescent="0.25">
      <c r="X42" s="16"/>
    </row>
  </sheetData>
  <mergeCells count="5">
    <mergeCell ref="A2:A5"/>
    <mergeCell ref="H2:H5"/>
    <mergeCell ref="B25:C25"/>
    <mergeCell ref="D25:E25"/>
    <mergeCell ref="F25:G25"/>
  </mergeCells>
  <pageMargins left="0.7" right="0.7" top="0.75" bottom="0.75" header="0.3" footer="0.3"/>
  <pageSetup orientation="portrait" horizontalDpi="4294967293"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G15"/>
  <sheetViews>
    <sheetView zoomScale="130" zoomScaleNormal="130" workbookViewId="0">
      <selection activeCell="C15" sqref="C15"/>
    </sheetView>
  </sheetViews>
  <sheetFormatPr defaultRowHeight="15" x14ac:dyDescent="0.25"/>
  <cols>
    <col min="1" max="1" width="27.28515625" style="11" bestFit="1" customWidth="1"/>
    <col min="2" max="2" width="24.85546875" style="11" bestFit="1" customWidth="1"/>
    <col min="3" max="3" width="14.28515625" style="11" bestFit="1" customWidth="1"/>
    <col min="4" max="4" width="11.140625" style="11" bestFit="1" customWidth="1"/>
    <col min="5" max="6" width="10.7109375" style="11" bestFit="1" customWidth="1"/>
    <col min="7" max="7" width="8.7109375" style="11" bestFit="1" customWidth="1"/>
  </cols>
  <sheetData>
    <row r="1" spans="1:7" x14ac:dyDescent="0.25">
      <c r="C1" s="11" t="s">
        <v>24</v>
      </c>
      <c r="D1" s="11" t="s">
        <v>25</v>
      </c>
      <c r="E1" s="11" t="s">
        <v>26</v>
      </c>
      <c r="F1" s="11" t="s">
        <v>27</v>
      </c>
      <c r="G1" s="11" t="s">
        <v>28</v>
      </c>
    </row>
    <row r="2" spans="1:7" x14ac:dyDescent="0.25">
      <c r="A2" s="11" t="s">
        <v>32</v>
      </c>
      <c r="B2" s="11" t="s">
        <v>29</v>
      </c>
      <c r="C2" s="11">
        <v>3.2000000000000001E-2</v>
      </c>
      <c r="D2" s="11">
        <v>0.11600000000000001</v>
      </c>
      <c r="E2" s="11">
        <v>0.19600000000000001</v>
      </c>
      <c r="F2" s="11">
        <v>0.19600000000000001</v>
      </c>
      <c r="G2" s="11">
        <v>0.46100000000000002</v>
      </c>
    </row>
    <row r="3" spans="1:7" x14ac:dyDescent="0.25">
      <c r="B3" s="11" t="s">
        <v>30</v>
      </c>
      <c r="C3" s="11">
        <v>2.9000000000000001E-2</v>
      </c>
      <c r="D3" s="11">
        <v>0.111</v>
      </c>
      <c r="E3" s="11">
        <v>0.182</v>
      </c>
      <c r="F3" s="11">
        <v>0.219</v>
      </c>
      <c r="G3" s="11">
        <v>0.46</v>
      </c>
    </row>
    <row r="4" spans="1:7" x14ac:dyDescent="0.25">
      <c r="B4" s="11" t="s">
        <v>31</v>
      </c>
      <c r="C4" s="11">
        <v>0.03</v>
      </c>
      <c r="D4" s="11">
        <v>0.112</v>
      </c>
      <c r="E4" s="11">
        <v>0.20599999999999999</v>
      </c>
      <c r="F4" s="11">
        <v>0.19700000000000001</v>
      </c>
      <c r="G4" s="11">
        <v>0.45300000000000001</v>
      </c>
    </row>
    <row r="5" spans="1:7" x14ac:dyDescent="0.25">
      <c r="A5" s="11" t="s">
        <v>33</v>
      </c>
      <c r="B5" s="11" t="s">
        <v>34</v>
      </c>
      <c r="C5" s="11">
        <v>8.9999999999999993E-3</v>
      </c>
      <c r="D5" s="11">
        <v>6.2E-2</v>
      </c>
      <c r="E5" s="11">
        <v>0.16600000000000001</v>
      </c>
      <c r="F5" s="11">
        <v>0.223</v>
      </c>
      <c r="G5" s="11">
        <v>0.54</v>
      </c>
    </row>
    <row r="6" spans="1:7" x14ac:dyDescent="0.25">
      <c r="B6" s="11" t="s">
        <v>30</v>
      </c>
      <c r="C6" s="11">
        <v>5.0000000000000001E-3</v>
      </c>
      <c r="D6" s="11">
        <v>3.6999999999999998E-2</v>
      </c>
      <c r="E6" s="11">
        <v>0.126</v>
      </c>
      <c r="F6" s="11">
        <v>0.20899999999999999</v>
      </c>
      <c r="G6" s="11">
        <v>0.623</v>
      </c>
    </row>
    <row r="7" spans="1:7" x14ac:dyDescent="0.25">
      <c r="B7" s="11" t="s">
        <v>31</v>
      </c>
      <c r="C7" s="11">
        <v>8.0000000000000002E-3</v>
      </c>
      <c r="D7" s="11">
        <v>5.5E-2</v>
      </c>
      <c r="E7" s="11">
        <v>0.158</v>
      </c>
      <c r="F7" s="11">
        <v>0.23899999999999999</v>
      </c>
      <c r="G7" s="11">
        <v>0.54</v>
      </c>
    </row>
    <row r="8" spans="1:7" x14ac:dyDescent="0.25">
      <c r="A8" s="11" t="s">
        <v>35</v>
      </c>
      <c r="B8" s="11" t="s">
        <v>36</v>
      </c>
      <c r="C8" s="11">
        <v>1.9E-2</v>
      </c>
      <c r="D8" s="11">
        <v>8.1000000000000003E-2</v>
      </c>
      <c r="E8" s="11">
        <v>0.16500000000000001</v>
      </c>
      <c r="F8" s="11">
        <v>0.17699999999999999</v>
      </c>
      <c r="G8" s="11">
        <v>0.55800000000000005</v>
      </c>
    </row>
    <row r="9" spans="1:7" x14ac:dyDescent="0.25">
      <c r="B9" s="11" t="s">
        <v>37</v>
      </c>
      <c r="C9" s="11">
        <v>6.0000000000000001E-3</v>
      </c>
      <c r="D9" s="11">
        <v>4.2999999999999997E-2</v>
      </c>
      <c r="E9" s="11">
        <v>0.13100000000000001</v>
      </c>
      <c r="F9" s="11">
        <v>0.216</v>
      </c>
      <c r="G9" s="11">
        <v>0.60399999999999998</v>
      </c>
    </row>
    <row r="10" spans="1:7" x14ac:dyDescent="0.25">
      <c r="B10" s="11" t="s">
        <v>38</v>
      </c>
      <c r="C10" s="11">
        <v>4.0000000000000001E-3</v>
      </c>
      <c r="D10" s="11">
        <v>3.9E-2</v>
      </c>
      <c r="E10" s="11">
        <v>0.124</v>
      </c>
      <c r="F10" s="11">
        <v>0.223</v>
      </c>
      <c r="G10" s="11">
        <v>0.61</v>
      </c>
    </row>
    <row r="11" spans="1:7" x14ac:dyDescent="0.25">
      <c r="A11" s="11" t="s">
        <v>16</v>
      </c>
      <c r="B11" s="11" t="s">
        <v>39</v>
      </c>
      <c r="C11" s="11">
        <v>8.0000000000000002E-3</v>
      </c>
      <c r="D11" s="11">
        <v>4.9000000000000002E-2</v>
      </c>
      <c r="E11" s="11">
        <v>0.14099999999999999</v>
      </c>
      <c r="F11" s="11">
        <v>0.224</v>
      </c>
      <c r="G11" s="11">
        <v>0.57699999999999996</v>
      </c>
    </row>
    <row r="13" spans="1:7" x14ac:dyDescent="0.25">
      <c r="B13" s="11" t="s">
        <v>40</v>
      </c>
      <c r="C13" s="12">
        <v>10560000</v>
      </c>
      <c r="D13" s="12">
        <v>599040</v>
      </c>
      <c r="E13" s="12">
        <v>162240</v>
      </c>
      <c r="F13" s="12">
        <v>100800</v>
      </c>
      <c r="G13" s="12">
        <v>7600</v>
      </c>
    </row>
    <row r="14" spans="1:7" x14ac:dyDescent="0.25">
      <c r="C14" s="12"/>
    </row>
    <row r="15" spans="1:7" x14ac:dyDescent="0.25">
      <c r="B15" s="11" t="s">
        <v>41</v>
      </c>
      <c r="C15" s="12">
        <f>(C11*C13+D11*D13+E11*E13+F11*F13)/SUM(C11:F11)</f>
        <v>377459.71563981043</v>
      </c>
    </row>
  </sheetData>
  <pageMargins left="0.7" right="0.7" top="0.75" bottom="0.75" header="0.3" footer="0.3"/>
  <pageSetup orientation="portrait" horizontalDpi="4294967293"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ATMA Benefit-Cost Analysis Tool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Roozbeh Rahmani</dc:creator>
  <cp:lastModifiedBy>Agarwal,Nithin</cp:lastModifiedBy>
  <dcterms:created xsi:type="dcterms:W3CDTF">2020-09-11T12:50:25Z</dcterms:created>
  <dcterms:modified xsi:type="dcterms:W3CDTF">2021-01-31T23:07:28Z</dcterms:modified>
</cp:coreProperties>
</file>